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off\Desktop\Geoff\"/>
    </mc:Choice>
  </mc:AlternateContent>
  <xr:revisionPtr revIDLastSave="0" documentId="13_ncr:1_{0FA3473D-E55D-4921-B30C-F21430C71A40}" xr6:coauthVersionLast="47" xr6:coauthVersionMax="47" xr10:uidLastSave="{00000000-0000-0000-0000-000000000000}"/>
  <bookViews>
    <workbookView xWindow="-120" yWindow="-120" windowWidth="20730" windowHeight="11160" xr2:uid="{ACE179CF-11BF-4F75-8932-DC5F1DB61A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58" i="1" l="1"/>
  <c r="A1658" i="1"/>
  <c r="B95" i="1"/>
  <c r="A95" i="1"/>
  <c r="B1490" i="1"/>
  <c r="A1490" i="1"/>
  <c r="B132" i="1"/>
  <c r="A132" i="1"/>
  <c r="B1622" i="1"/>
  <c r="A1622" i="1"/>
  <c r="B905" i="1"/>
  <c r="A905" i="1"/>
  <c r="B1452" i="1"/>
  <c r="A1452" i="1"/>
  <c r="B1131" i="1"/>
  <c r="A1131" i="1"/>
  <c r="B1507" i="1"/>
  <c r="A1507" i="1"/>
  <c r="B1491" i="1"/>
  <c r="A1491" i="1"/>
  <c r="B1380" i="1"/>
  <c r="A1380" i="1"/>
  <c r="B312" i="1"/>
  <c r="A312" i="1"/>
  <c r="B1454" i="1"/>
  <c r="A1454" i="1"/>
  <c r="B1013" i="1"/>
  <c r="A1013" i="1"/>
  <c r="B893" i="1"/>
  <c r="A893" i="1"/>
  <c r="B1621" i="1"/>
  <c r="A1621" i="1"/>
  <c r="B372" i="1"/>
  <c r="A372" i="1"/>
  <c r="B1235" i="1"/>
  <c r="A1235" i="1"/>
  <c r="B999" i="1"/>
  <c r="A999" i="1"/>
  <c r="B110" i="1"/>
  <c r="A110" i="1"/>
  <c r="B32" i="1"/>
  <c r="A32" i="1"/>
  <c r="B1267" i="1"/>
  <c r="A1267" i="1"/>
  <c r="B740" i="1"/>
  <c r="A740" i="1"/>
  <c r="B662" i="1"/>
  <c r="A662" i="1"/>
  <c r="B1797" i="1"/>
  <c r="A1797" i="1"/>
  <c r="B886" i="1"/>
  <c r="A886" i="1"/>
  <c r="B764" i="1"/>
  <c r="A764" i="1"/>
  <c r="B910" i="1"/>
  <c r="A910" i="1"/>
  <c r="B691" i="1"/>
  <c r="A691" i="1"/>
  <c r="B370" i="1"/>
  <c r="A370" i="1"/>
  <c r="B114" i="1"/>
  <c r="A114" i="1"/>
  <c r="B717" i="1"/>
  <c r="A717" i="1"/>
  <c r="B189" i="1"/>
  <c r="A189" i="1"/>
  <c r="B313" i="1"/>
  <c r="A313" i="1"/>
  <c r="B1620" i="1"/>
  <c r="A1620" i="1"/>
  <c r="B777" i="1"/>
  <c r="A777" i="1"/>
  <c r="B535" i="1"/>
  <c r="A535" i="1"/>
  <c r="B237" i="1"/>
  <c r="A237" i="1"/>
  <c r="B1722" i="1"/>
  <c r="A1722" i="1"/>
  <c r="B804" i="1"/>
  <c r="A804" i="1"/>
  <c r="B93" i="1"/>
  <c r="A93" i="1"/>
  <c r="B690" i="1"/>
  <c r="A690" i="1"/>
  <c r="B973" i="1"/>
  <c r="A973" i="1"/>
  <c r="B1019" i="1"/>
  <c r="A1019" i="1"/>
  <c r="B906" i="1"/>
  <c r="A906" i="1"/>
  <c r="B1151" i="1"/>
  <c r="A1151" i="1"/>
  <c r="B521" i="1"/>
  <c r="A521" i="1"/>
  <c r="B1431" i="1"/>
  <c r="A1431" i="1"/>
  <c r="B280" i="1"/>
  <c r="A280" i="1"/>
  <c r="B1469" i="1"/>
  <c r="A1469" i="1"/>
  <c r="B1372" i="1"/>
  <c r="A1372" i="1"/>
  <c r="B1371" i="1"/>
  <c r="A1371" i="1"/>
  <c r="B1370" i="1"/>
  <c r="A1370" i="1"/>
  <c r="B741" i="1"/>
  <c r="A741" i="1"/>
  <c r="B1492" i="1"/>
  <c r="A1492" i="1"/>
  <c r="B1657" i="1"/>
  <c r="A1657" i="1"/>
  <c r="B371" i="1"/>
  <c r="A371" i="1"/>
  <c r="B1332" i="1"/>
  <c r="A1332" i="1"/>
  <c r="B568" i="1"/>
  <c r="A568" i="1"/>
  <c r="B811" i="1"/>
  <c r="A811" i="1"/>
  <c r="B702" i="1"/>
  <c r="A702" i="1"/>
  <c r="B1451" i="1"/>
  <c r="A1451" i="1"/>
  <c r="B1468" i="1"/>
  <c r="A1468" i="1"/>
  <c r="B283" i="1"/>
  <c r="A283" i="1"/>
  <c r="B1404" i="1"/>
  <c r="A1404" i="1"/>
  <c r="B1207" i="1"/>
  <c r="A1207" i="1"/>
  <c r="B1072" i="1"/>
  <c r="A1072" i="1"/>
  <c r="B536" i="1"/>
  <c r="A536" i="1"/>
  <c r="B1776" i="1"/>
  <c r="A1776" i="1"/>
  <c r="B509" i="1"/>
  <c r="A509" i="1"/>
  <c r="B428" i="1"/>
  <c r="A428" i="1"/>
  <c r="B281" i="1"/>
  <c r="A281" i="1"/>
  <c r="B794" i="1"/>
  <c r="A794" i="1"/>
  <c r="B1423" i="1"/>
  <c r="A1423" i="1"/>
  <c r="B1391" i="1"/>
  <c r="A1391" i="1"/>
  <c r="B1688" i="1"/>
  <c r="A1688" i="1"/>
  <c r="B569" i="1"/>
  <c r="A569" i="1"/>
  <c r="B1502" i="1"/>
  <c r="A1502" i="1"/>
  <c r="B1555" i="1"/>
  <c r="A1555" i="1"/>
  <c r="B743" i="1"/>
  <c r="A743" i="1"/>
  <c r="B1470" i="1"/>
  <c r="A1470" i="1"/>
  <c r="B170" i="1"/>
  <c r="A170" i="1"/>
  <c r="B1669" i="1"/>
  <c r="A1669" i="1"/>
  <c r="B171" i="1"/>
  <c r="A171" i="1"/>
  <c r="B1775" i="1"/>
  <c r="A1775" i="1"/>
  <c r="B1000" i="1"/>
  <c r="A1000" i="1"/>
  <c r="B508" i="1"/>
  <c r="A508" i="1"/>
  <c r="B1178" i="1"/>
  <c r="A1178" i="1"/>
  <c r="B416" i="1"/>
  <c r="A416" i="1"/>
  <c r="B758" i="1"/>
  <c r="A758" i="1"/>
  <c r="B284" i="1"/>
  <c r="A284" i="1"/>
  <c r="B33" i="1"/>
  <c r="A33" i="1"/>
  <c r="B109" i="1"/>
  <c r="A109" i="1"/>
  <c r="B689" i="1"/>
  <c r="A689" i="1"/>
  <c r="B340" i="1"/>
  <c r="A340" i="1"/>
  <c r="B1179" i="1"/>
  <c r="A1179" i="1"/>
  <c r="A963" i="1"/>
  <c r="B963" i="1"/>
  <c r="A962" i="1"/>
  <c r="B962" i="1"/>
  <c r="B450" i="1"/>
  <c r="A450" i="1"/>
  <c r="B1566" i="1"/>
  <c r="A1566" i="1"/>
  <c r="B831" i="1"/>
  <c r="A831" i="1"/>
  <c r="B945" i="1"/>
  <c r="A945" i="1"/>
  <c r="B442" i="1"/>
  <c r="A442" i="1"/>
  <c r="B92" i="1"/>
  <c r="A92" i="1"/>
  <c r="B671" i="1"/>
  <c r="A671" i="1"/>
  <c r="B802" i="1"/>
  <c r="A802" i="1"/>
  <c r="B498" i="1"/>
  <c r="A498" i="1"/>
  <c r="B1018" i="1"/>
  <c r="A1018" i="1"/>
  <c r="B472" i="1"/>
  <c r="A472" i="1"/>
  <c r="B1656" i="1"/>
  <c r="A1656" i="1"/>
  <c r="B988" i="1"/>
  <c r="A988" i="1"/>
  <c r="B234" i="1"/>
  <c r="A234" i="1"/>
  <c r="B1144" i="1"/>
  <c r="A1144" i="1"/>
  <c r="B776" i="1"/>
  <c r="A776" i="1"/>
  <c r="B697" i="1"/>
  <c r="A697" i="1"/>
  <c r="B287" i="1"/>
  <c r="A287" i="1"/>
  <c r="B762" i="1"/>
  <c r="A762" i="1"/>
  <c r="B1652" i="1"/>
  <c r="A1652" i="1"/>
  <c r="B881" i="1"/>
  <c r="A881" i="1"/>
  <c r="B1661" i="1"/>
  <c r="A1661" i="1"/>
  <c r="B609" i="1"/>
  <c r="A609" i="1"/>
  <c r="B946" i="1"/>
  <c r="A946" i="1"/>
  <c r="B520" i="1"/>
  <c r="A520" i="1"/>
  <c r="B327" i="1"/>
  <c r="A327" i="1"/>
  <c r="B90" i="1"/>
  <c r="A90" i="1"/>
  <c r="B1353" i="1"/>
  <c r="A1353" i="1"/>
  <c r="B1206" i="1"/>
  <c r="A1206" i="1"/>
  <c r="B964" i="1"/>
  <c r="A964" i="1"/>
  <c r="B765" i="1"/>
  <c r="A765" i="1"/>
  <c r="B387" i="1"/>
  <c r="A387" i="1"/>
  <c r="B191" i="1"/>
  <c r="A191" i="1"/>
  <c r="B749" i="1"/>
  <c r="A749" i="1"/>
  <c r="B1619" i="1"/>
  <c r="A1619" i="1"/>
  <c r="B188" i="1"/>
  <c r="A188" i="1"/>
  <c r="B840" i="1"/>
  <c r="A840" i="1"/>
  <c r="B235" i="1"/>
  <c r="A235" i="1"/>
  <c r="B1145" i="1"/>
  <c r="A1145" i="1"/>
  <c r="B427" i="1"/>
  <c r="A427" i="1"/>
  <c r="B463" i="1"/>
  <c r="A463" i="1"/>
  <c r="B953" i="1"/>
  <c r="A953" i="1"/>
  <c r="B981" i="1"/>
  <c r="A981" i="1"/>
  <c r="B180" i="1"/>
  <c r="A180" i="1"/>
  <c r="B830" i="1"/>
  <c r="A830" i="1"/>
  <c r="B665" i="1"/>
  <c r="A665" i="1"/>
  <c r="B31" i="1"/>
  <c r="A31" i="1"/>
  <c r="B179" i="1"/>
  <c r="A179" i="1"/>
  <c r="B1082" i="1"/>
  <c r="A1082" i="1"/>
  <c r="B1294" i="1"/>
  <c r="A1294" i="1"/>
  <c r="B567" i="1"/>
  <c r="A567" i="1"/>
  <c r="B1007" i="1"/>
  <c r="A1007" i="1"/>
  <c r="B1323" i="1"/>
  <c r="A1323" i="1"/>
  <c r="B1129" i="1"/>
  <c r="A1129" i="1"/>
  <c r="B181" i="1"/>
  <c r="A181" i="1"/>
  <c r="B972" i="1"/>
  <c r="A972" i="1"/>
  <c r="B91" i="1"/>
  <c r="A91" i="1"/>
  <c r="B1721" i="1"/>
  <c r="A1721" i="1"/>
  <c r="B296" i="1"/>
  <c r="A296" i="1"/>
  <c r="B1177" i="1"/>
  <c r="A1177" i="1"/>
  <c r="B406" i="1"/>
  <c r="A406" i="1"/>
  <c r="B462" i="1"/>
  <c r="A462" i="1"/>
  <c r="B94" i="1"/>
  <c r="A94" i="1"/>
  <c r="B578" i="1"/>
  <c r="A578" i="1"/>
  <c r="B1205" i="1"/>
  <c r="A1205" i="1"/>
  <c r="B566" i="1"/>
  <c r="A566" i="1"/>
  <c r="B757" i="1"/>
  <c r="A757" i="1"/>
  <c r="B1571" i="1"/>
  <c r="A1571" i="1"/>
  <c r="B1544" i="1"/>
  <c r="A1544" i="1"/>
  <c r="B1278" i="1"/>
  <c r="A1278" i="1"/>
  <c r="B1567" i="1"/>
  <c r="A1567" i="1"/>
  <c r="B1685" i="1"/>
  <c r="A1685" i="1"/>
  <c r="B1190" i="1"/>
  <c r="A1190" i="1"/>
  <c r="B1444" i="1"/>
  <c r="A1444" i="1"/>
  <c r="B161" i="1"/>
  <c r="A161" i="1"/>
  <c r="B1004" i="1"/>
  <c r="A1004" i="1"/>
  <c r="B1422" i="1"/>
  <c r="A1422" i="1"/>
  <c r="B679" i="1"/>
  <c r="A679" i="1"/>
  <c r="B1560" i="1"/>
  <c r="A1560" i="1"/>
  <c r="B1191" i="1"/>
  <c r="A1191" i="1"/>
  <c r="B1471" i="1"/>
  <c r="A1471" i="1"/>
  <c r="B1489" i="1"/>
  <c r="A1489" i="1"/>
  <c r="B310" i="1" l="1"/>
  <c r="A310" i="1"/>
  <c r="B593" i="1"/>
  <c r="A593" i="1"/>
  <c r="B1215" i="1"/>
  <c r="A1215" i="1"/>
  <c r="B277" i="1"/>
  <c r="A277" i="1"/>
  <c r="B1632" i="1"/>
  <c r="A1632" i="1"/>
  <c r="B1061" i="1"/>
  <c r="A1061" i="1"/>
  <c r="B1672" i="1"/>
  <c r="A1672" i="1"/>
  <c r="B1176" i="1"/>
  <c r="A1176" i="1"/>
  <c r="B1732" i="1"/>
  <c r="A1732" i="1"/>
  <c r="B1487" i="1"/>
  <c r="A1487" i="1"/>
  <c r="B1056" i="1"/>
  <c r="A1056" i="1"/>
  <c r="B1059" i="1"/>
  <c r="A1059" i="1"/>
  <c r="B1055" i="1"/>
  <c r="A1055" i="1"/>
  <c r="B1553" i="1"/>
  <c r="A1553" i="1"/>
  <c r="B89" i="1"/>
  <c r="A89" i="1"/>
  <c r="B1304" i="1"/>
  <c r="A1304" i="1"/>
  <c r="B1746" i="1"/>
  <c r="A1746" i="1"/>
  <c r="B311" i="1"/>
  <c r="A311" i="1"/>
  <c r="B577" i="1"/>
  <c r="A577" i="1"/>
  <c r="B900" i="1"/>
  <c r="A900" i="1"/>
  <c r="B1549" i="1"/>
  <c r="A1549" i="1"/>
  <c r="B1550" i="1"/>
  <c r="A1550" i="1"/>
  <c r="B6" i="1"/>
  <c r="A6" i="1"/>
  <c r="B1057" i="1"/>
  <c r="A1057" i="1"/>
  <c r="B1064" i="1"/>
  <c r="A1064" i="1"/>
  <c r="B1011" i="1"/>
  <c r="A1011" i="1"/>
  <c r="B1488" i="1"/>
  <c r="A1488" i="1"/>
  <c r="B885" i="1"/>
  <c r="A885" i="1"/>
  <c r="B529" i="1"/>
  <c r="A529" i="1"/>
  <c r="B30" i="1"/>
  <c r="A30" i="1"/>
  <c r="B580" i="1"/>
  <c r="A580" i="1"/>
  <c r="B1066" i="1"/>
  <c r="A1066" i="1"/>
  <c r="B412" i="1"/>
  <c r="A412" i="1"/>
  <c r="B1634" i="1"/>
  <c r="A1634" i="1"/>
  <c r="B1060" i="1"/>
  <c r="A1060" i="1"/>
  <c r="B1552" i="1"/>
  <c r="A1552" i="1"/>
  <c r="B1062" i="1"/>
  <c r="A1062" i="1"/>
  <c r="B1720" i="1"/>
  <c r="A1720" i="1"/>
  <c r="B1092" i="1"/>
  <c r="A1092" i="1"/>
  <c r="B1058" i="1"/>
  <c r="A1058" i="1"/>
  <c r="B1067" i="1"/>
  <c r="A1067" i="1"/>
  <c r="B1551" i="1"/>
  <c r="A1551" i="1"/>
  <c r="B785" i="1"/>
  <c r="A785" i="1"/>
  <c r="B88" i="1" l="1"/>
  <c r="A88" i="1"/>
  <c r="B1506" i="1"/>
  <c r="A1506" i="1"/>
  <c r="B1467" i="1"/>
  <c r="A1467" i="1"/>
  <c r="B1161" i="1"/>
  <c r="A1161" i="1"/>
  <c r="B1559" i="1"/>
  <c r="A1559" i="1"/>
  <c r="B1542" i="1"/>
  <c r="A1542" i="1"/>
  <c r="B1299" i="1"/>
  <c r="A1299" i="1"/>
  <c r="B858" i="1"/>
  <c r="A858" i="1"/>
  <c r="B1408" i="1"/>
  <c r="A1408" i="1"/>
  <c r="B87" i="1"/>
  <c r="A87" i="1"/>
  <c r="B326" i="1"/>
  <c r="A326" i="1"/>
  <c r="B461" i="1"/>
  <c r="A461" i="1"/>
  <c r="B944" i="1"/>
  <c r="A944" i="1"/>
  <c r="B688" i="1"/>
  <c r="A688" i="1"/>
  <c r="B411" i="1"/>
  <c r="A411" i="1"/>
  <c r="B716" i="1"/>
  <c r="A716" i="1"/>
  <c r="B1139" i="1"/>
  <c r="A1139" i="1"/>
  <c r="B1772" i="1"/>
  <c r="A1772" i="1"/>
  <c r="B1305" i="1"/>
  <c r="A1305" i="1"/>
  <c r="B1128" i="1"/>
  <c r="A1128" i="1"/>
  <c r="B1127" i="1"/>
  <c r="A1127" i="1"/>
  <c r="B1158" i="1"/>
  <c r="A1158" i="1"/>
  <c r="B1159" i="1"/>
  <c r="A1159" i="1"/>
  <c r="B774" i="1"/>
  <c r="A774" i="1"/>
  <c r="B775" i="1"/>
  <c r="A775" i="1"/>
  <c r="B799" i="1"/>
  <c r="A799" i="1"/>
  <c r="B1561" i="1"/>
  <c r="A1561" i="1"/>
  <c r="B1719" i="1"/>
  <c r="A1719" i="1"/>
  <c r="B145" i="1"/>
  <c r="A145" i="1"/>
  <c r="B113" i="1"/>
  <c r="A113" i="1"/>
  <c r="B407" i="1"/>
  <c r="A407" i="1"/>
  <c r="B1123" i="1"/>
  <c r="A1123" i="1"/>
  <c r="B1403" i="1"/>
  <c r="A1403" i="1"/>
  <c r="B1394" i="1"/>
  <c r="A1394" i="1"/>
  <c r="B345" i="1"/>
  <c r="A345" i="1"/>
  <c r="B1615" i="1"/>
  <c r="A1615" i="1"/>
  <c r="B178" i="1"/>
  <c r="A178" i="1"/>
  <c r="B1752" i="1"/>
  <c r="A1752" i="1"/>
  <c r="B1382" i="1"/>
  <c r="A1382" i="1"/>
  <c r="B1386" i="1"/>
  <c r="A1386" i="1"/>
  <c r="B1212" i="1"/>
  <c r="A1212" i="1"/>
  <c r="B1541" i="1"/>
  <c r="A1541" i="1"/>
  <c r="B753" i="1"/>
  <c r="A753" i="1"/>
  <c r="B1617" i="1"/>
  <c r="A1617" i="1"/>
  <c r="B678" i="1"/>
  <c r="A678" i="1"/>
  <c r="B576" i="1"/>
  <c r="A576" i="1"/>
  <c r="B1638" i="1"/>
  <c r="A1638" i="1"/>
  <c r="B1631" i="1"/>
  <c r="A1631" i="1"/>
  <c r="B346" i="1"/>
  <c r="A346" i="1"/>
  <c r="B1337" i="1"/>
  <c r="A1337" i="1"/>
  <c r="B793" i="1"/>
  <c r="A793" i="1"/>
  <c r="B792" i="1"/>
  <c r="A792" i="1"/>
  <c r="B908" i="1"/>
  <c r="A908" i="1"/>
  <c r="B1373" i="1"/>
  <c r="A1373" i="1"/>
  <c r="B1774" i="1"/>
  <c r="A1774" i="1"/>
  <c r="B608" i="1"/>
  <c r="A608" i="1"/>
  <c r="B1175" i="1"/>
  <c r="A1175" i="1"/>
  <c r="B682" i="1"/>
  <c r="A682" i="1"/>
  <c r="B681" i="1"/>
  <c r="A681" i="1"/>
  <c r="B680" i="1"/>
  <c r="A680" i="1"/>
  <c r="B86" i="1"/>
  <c r="A86" i="1"/>
  <c r="B1160" i="1"/>
  <c r="A1160" i="1"/>
  <c r="B784" i="1"/>
  <c r="A784" i="1"/>
  <c r="B797" i="1"/>
  <c r="A797" i="1"/>
  <c r="B1743" i="1"/>
  <c r="A1743" i="1"/>
  <c r="B839" i="1"/>
  <c r="A839" i="1"/>
  <c r="B892" i="1"/>
  <c r="A892" i="1"/>
  <c r="B1614" i="1"/>
  <c r="A1614" i="1"/>
  <c r="B884" i="1"/>
  <c r="A884" i="1"/>
  <c r="B1616" i="1"/>
  <c r="A1616" i="1"/>
  <c r="B399" i="1"/>
  <c r="A399" i="1"/>
  <c r="B943" i="1"/>
  <c r="A943" i="1"/>
  <c r="B1366" i="1"/>
  <c r="A1366" i="1"/>
  <c r="B377" i="1"/>
  <c r="A377" i="1"/>
  <c r="B1611" i="1"/>
  <c r="A1611" i="1"/>
  <c r="B1379" i="1"/>
  <c r="A1379" i="1"/>
  <c r="B1377" i="1"/>
  <c r="A1377" i="1"/>
  <c r="B1735" i="1"/>
  <c r="A1735" i="1"/>
  <c r="B403" i="1"/>
  <c r="A403" i="1"/>
  <c r="B1174" i="1"/>
  <c r="A1174" i="1"/>
  <c r="B615" i="1"/>
  <c r="A615" i="1"/>
  <c r="B368" i="1"/>
  <c r="A368" i="1"/>
  <c r="B271" i="1"/>
  <c r="A271" i="1"/>
  <c r="B1091" i="1"/>
  <c r="A1091" i="1"/>
  <c r="B827" i="1"/>
  <c r="A827" i="1"/>
  <c r="B1122" i="1"/>
  <c r="A1122" i="1"/>
  <c r="B1742" i="1"/>
  <c r="A1742" i="1"/>
  <c r="B661" i="1"/>
  <c r="A661" i="1"/>
  <c r="B1081" i="1"/>
  <c r="A1081" i="1"/>
  <c r="B233" i="1"/>
  <c r="A233" i="1"/>
  <c r="B276" i="1"/>
  <c r="A276" i="1"/>
  <c r="B426" i="1"/>
  <c r="A426" i="1"/>
  <c r="B83" i="1"/>
  <c r="A83" i="1"/>
  <c r="B131" i="1"/>
  <c r="A131" i="1"/>
  <c r="B1741" i="1"/>
  <c r="A1741" i="1"/>
  <c r="B660" i="1"/>
  <c r="A660" i="1"/>
  <c r="B1342" i="1"/>
  <c r="A1342" i="1"/>
  <c r="B843" i="1"/>
  <c r="A843" i="1"/>
  <c r="B1612" i="1"/>
  <c r="A1612" i="1"/>
  <c r="B552" i="1"/>
  <c r="A552" i="1"/>
  <c r="B551" i="1"/>
  <c r="A551" i="1"/>
  <c r="B133" i="1"/>
  <c r="A133" i="1"/>
  <c r="B286" i="1"/>
  <c r="A286" i="1"/>
  <c r="B748" i="1"/>
  <c r="A748" i="1"/>
  <c r="B747" i="1"/>
  <c r="A747" i="1"/>
  <c r="B268" i="1"/>
  <c r="A268" i="1"/>
  <c r="B1535" i="1"/>
  <c r="A1535" i="1"/>
  <c r="B367" i="1"/>
  <c r="A367" i="1"/>
  <c r="B1486" i="1"/>
  <c r="A1486" i="1"/>
  <c r="B1265" i="1"/>
  <c r="A1265" i="1"/>
  <c r="B659" i="1"/>
  <c r="A659" i="1"/>
  <c r="B911" i="1"/>
  <c r="A911" i="1"/>
  <c r="B942" i="1"/>
  <c r="A942" i="1"/>
  <c r="B1390" i="1"/>
  <c r="A1390" i="1"/>
  <c r="B1322" i="1"/>
  <c r="A1322" i="1"/>
  <c r="B1613" i="1"/>
  <c r="A1613" i="1"/>
  <c r="B136" i="1"/>
  <c r="A136" i="1"/>
  <c r="B108" i="1"/>
  <c r="A108" i="1"/>
  <c r="B84" i="1"/>
  <c r="A84" i="1"/>
  <c r="B102" i="1"/>
  <c r="A102" i="1"/>
  <c r="B639" i="1"/>
  <c r="A639" i="1"/>
  <c r="B369" i="1"/>
  <c r="A369" i="1"/>
  <c r="B82" i="1"/>
  <c r="A82" i="1"/>
  <c r="B270" i="1"/>
  <c r="A270" i="1"/>
  <c r="B137" i="1"/>
  <c r="A137" i="1"/>
  <c r="B1149" i="1"/>
  <c r="A1149" i="1"/>
  <c r="B415" i="1"/>
  <c r="A415" i="1"/>
  <c r="B1421" i="1"/>
  <c r="A1421" i="1"/>
  <c r="B909" i="1"/>
  <c r="A909" i="1"/>
  <c r="B1740" i="1"/>
  <c r="A1740" i="1"/>
  <c r="B989" i="1"/>
  <c r="A989" i="1"/>
  <c r="B1533" i="1"/>
  <c r="A1533" i="1"/>
  <c r="B474" i="1"/>
  <c r="A474" i="1"/>
  <c r="B823" i="1"/>
  <c r="A823" i="1"/>
  <c r="B151" i="1"/>
  <c r="A151" i="1"/>
  <c r="B1255" i="1"/>
  <c r="A1255" i="1"/>
  <c r="B1119" i="1"/>
  <c r="A1119" i="1"/>
  <c r="B85" i="1"/>
  <c r="A85" i="1"/>
  <c r="B982" i="1"/>
  <c r="A982" i="1"/>
  <c r="B855" i="1"/>
  <c r="A855" i="1"/>
  <c r="B883" i="1"/>
  <c r="A883" i="1"/>
  <c r="B150" i="1"/>
  <c r="A150" i="1"/>
  <c r="B1387" i="1"/>
  <c r="A1387" i="1"/>
  <c r="B81" i="1"/>
  <c r="A81" i="1"/>
  <c r="B877" i="1"/>
  <c r="A877" i="1"/>
  <c r="B553" i="1"/>
  <c r="A553" i="1"/>
  <c r="B672" i="1"/>
  <c r="A672" i="1"/>
  <c r="B273" i="1"/>
  <c r="A273" i="1"/>
  <c r="B1734" i="1"/>
  <c r="A1734" i="1"/>
  <c r="B507" i="1" l="1"/>
  <c r="A507" i="1"/>
  <c r="B1483" i="1"/>
  <c r="A1483" i="1"/>
  <c r="B970" i="1"/>
  <c r="A970" i="1"/>
  <c r="B1668" i="1"/>
  <c r="A1668" i="1"/>
  <c r="B1003" i="1"/>
  <c r="A1003" i="1"/>
  <c r="B761" i="1"/>
  <c r="A761" i="1"/>
  <c r="B1650" i="1"/>
  <c r="A1650" i="1"/>
  <c r="B1401" i="1"/>
  <c r="A1401" i="1"/>
  <c r="B106" i="1"/>
  <c r="A106" i="1"/>
  <c r="B781" i="1"/>
  <c r="A781" i="1"/>
  <c r="B104" i="1"/>
  <c r="A104" i="1"/>
  <c r="B130" i="1"/>
  <c r="A130" i="1"/>
  <c r="B1049" i="1"/>
  <c r="A1049" i="1"/>
  <c r="B1050" i="1"/>
  <c r="A1050" i="1"/>
  <c r="B375" i="1"/>
  <c r="A375" i="1"/>
  <c r="B872" i="1"/>
  <c r="A872" i="1"/>
  <c r="B1687" i="1"/>
  <c r="A1687" i="1"/>
  <c r="B1651" i="1"/>
  <c r="A1651" i="1"/>
  <c r="B1730" i="1"/>
  <c r="A1730" i="1"/>
  <c r="B564" i="1"/>
  <c r="A564" i="1"/>
  <c r="B1418" i="1"/>
  <c r="A1418" i="1"/>
  <c r="B882" i="1"/>
  <c r="A882" i="1"/>
  <c r="B1052" i="1"/>
  <c r="A1052" i="1"/>
  <c r="B1531" i="1"/>
  <c r="A1531" i="1"/>
  <c r="B128" i="1"/>
  <c r="A128" i="1"/>
  <c r="B805" i="1"/>
  <c r="A805" i="1"/>
  <c r="B483" i="1"/>
  <c r="A483" i="1"/>
  <c r="B1048" i="1"/>
  <c r="A1048" i="1"/>
  <c r="B1053" i="1"/>
  <c r="A1053" i="1"/>
  <c r="B1604" i="1"/>
  <c r="A1604" i="1"/>
  <c r="B228" i="1"/>
  <c r="A228" i="1"/>
  <c r="B1365" i="1"/>
  <c r="A1365" i="1"/>
  <c r="B269" i="1"/>
  <c r="A269" i="1"/>
  <c r="B715" i="1"/>
  <c r="A715" i="1"/>
  <c r="B308" i="1"/>
  <c r="A308" i="1"/>
  <c r="B773" i="1"/>
  <c r="A773" i="1"/>
  <c r="B1293" i="1"/>
  <c r="A1293" i="1"/>
  <c r="B978" i="1"/>
  <c r="A978" i="1"/>
  <c r="B119" i="1"/>
  <c r="A119" i="1"/>
  <c r="B166" i="1"/>
  <c r="A166" i="1"/>
  <c r="B229" i="1"/>
  <c r="A229" i="1"/>
  <c r="B359" i="1"/>
  <c r="A359" i="1"/>
  <c r="B35" i="1"/>
  <c r="A35" i="1"/>
  <c r="B1693" i="1"/>
  <c r="A1693" i="1"/>
  <c r="B809" i="1"/>
  <c r="A809" i="1"/>
  <c r="B873" i="1"/>
  <c r="A873" i="1"/>
  <c r="B1201" i="1"/>
  <c r="A1201" i="1"/>
  <c r="B447" i="1"/>
  <c r="A447" i="1"/>
  <c r="B574" i="1"/>
  <c r="A574" i="1"/>
  <c r="B1051" i="1"/>
  <c r="A1051" i="1"/>
  <c r="B177" i="1"/>
  <c r="A177" i="1"/>
  <c r="B1419" i="1"/>
  <c r="A1419" i="1"/>
  <c r="B1529" i="1"/>
  <c r="A1529" i="1"/>
  <c r="B1222" i="1"/>
  <c r="A1222" i="1"/>
  <c r="B1378" i="1"/>
  <c r="A1378" i="1"/>
  <c r="B1663" i="1"/>
  <c r="A1663" i="1"/>
  <c r="B230" i="1"/>
  <c r="A230" i="1"/>
  <c r="B938" i="1"/>
  <c r="A938" i="1"/>
  <c r="B226" i="1"/>
  <c r="A226" i="1"/>
  <c r="B996" i="1"/>
  <c r="A996" i="1"/>
  <c r="B704" i="1"/>
  <c r="A704" i="1"/>
  <c r="B874" i="1"/>
  <c r="A874" i="1"/>
  <c r="B1321" i="1"/>
  <c r="A1321" i="1"/>
  <c r="B627" i="1"/>
  <c r="A627" i="1"/>
  <c r="B105" i="1"/>
  <c r="A105" i="1"/>
  <c r="B1540" i="1"/>
  <c r="A1540" i="1"/>
  <c r="B1532" i="1"/>
  <c r="A1532" i="1"/>
  <c r="B696" i="1"/>
  <c r="A696" i="1"/>
  <c r="B1094" i="1"/>
  <c r="A1094" i="1"/>
  <c r="B267" i="1"/>
  <c r="A267" i="1"/>
  <c r="B257" i="1"/>
  <c r="A257" i="1"/>
  <c r="B920" i="1"/>
  <c r="A920" i="1"/>
  <c r="B1749" i="1"/>
  <c r="A1749" i="1"/>
  <c r="B1138" i="1"/>
  <c r="A1138" i="1"/>
  <c r="B159" i="1"/>
  <c r="A159" i="1"/>
  <c r="B120" i="1"/>
  <c r="A120" i="1"/>
  <c r="B338" i="1"/>
  <c r="A338" i="1"/>
  <c r="B1070" i="1"/>
  <c r="A1070" i="1"/>
  <c r="B635" i="1"/>
  <c r="A635" i="1"/>
  <c r="B307" i="1"/>
  <c r="A307" i="1"/>
  <c r="B496" i="1"/>
  <c r="A496" i="1"/>
  <c r="B563" i="1"/>
  <c r="A563" i="1"/>
  <c r="B227" i="1"/>
  <c r="A227" i="1"/>
  <c r="B1096" i="1"/>
  <c r="A1096" i="1"/>
  <c r="B1381" i="1"/>
  <c r="A1381" i="1"/>
  <c r="A955" i="1" l="1"/>
  <c r="B955" i="1"/>
  <c r="B548" i="1" l="1"/>
  <c r="A548" i="1"/>
  <c r="B337" i="1"/>
  <c r="A337" i="1"/>
  <c r="B1016" i="1"/>
  <c r="A1016" i="1"/>
  <c r="B73" i="1"/>
  <c r="A73" i="1"/>
  <c r="B986" i="1"/>
  <c r="A986" i="1"/>
  <c r="B300" i="1"/>
  <c r="A300" i="1"/>
  <c r="B1512" i="1"/>
  <c r="A1512" i="1"/>
  <c r="B1603" i="1"/>
  <c r="A1603" i="1"/>
  <c r="B444" i="1"/>
  <c r="A444" i="1"/>
  <c r="B898" i="1"/>
  <c r="A898" i="1"/>
  <c r="B492" i="1"/>
  <c r="A492" i="1"/>
  <c r="B1505" i="1"/>
  <c r="A1505" i="1"/>
  <c r="B936" i="1"/>
  <c r="A936" i="1"/>
  <c r="B562" i="1"/>
  <c r="A562" i="1"/>
  <c r="B897" i="1"/>
  <c r="A897" i="1"/>
  <c r="B402" i="1"/>
  <c r="A402" i="1"/>
  <c r="B590" i="1"/>
  <c r="A590" i="1"/>
  <c r="B376" i="1"/>
  <c r="A376" i="1"/>
  <c r="B891" i="1"/>
  <c r="A891" i="1"/>
  <c r="B306" i="1"/>
  <c r="A306" i="1"/>
  <c r="B638" i="1"/>
  <c r="A638" i="1"/>
  <c r="B1695" i="1"/>
  <c r="A1695" i="1"/>
  <c r="B391" i="1"/>
  <c r="A391" i="1"/>
  <c r="B1292" i="1"/>
  <c r="A1292" i="1"/>
  <c r="B457" i="1"/>
  <c r="A457" i="1"/>
  <c r="B1443" i="1"/>
  <c r="A1443" i="1"/>
  <c r="B456" i="1"/>
  <c r="A456" i="1"/>
  <c r="B266" i="1"/>
  <c r="A266" i="1"/>
  <c r="B547" i="1"/>
  <c r="A547" i="1"/>
  <c r="B899" i="1"/>
  <c r="A899" i="1"/>
  <c r="B129" i="1"/>
  <c r="A129" i="1"/>
  <c r="B917" i="1"/>
  <c r="A917" i="1"/>
  <c r="B398" i="1"/>
  <c r="A398" i="1"/>
  <c r="B74" i="1"/>
  <c r="A74" i="1"/>
  <c r="B549" i="1"/>
  <c r="A549" i="1"/>
  <c r="B1089" i="1"/>
  <c r="A1089" i="1"/>
  <c r="B655" i="1"/>
  <c r="A655" i="1"/>
  <c r="B1602" i="1"/>
  <c r="A1602" i="1"/>
  <c r="B985" i="1"/>
  <c r="A985" i="1"/>
  <c r="B987" i="1"/>
  <c r="A987" i="1"/>
  <c r="B76" i="1"/>
  <c r="A76" i="1"/>
  <c r="B1683" i="1"/>
  <c r="A1683" i="1"/>
  <c r="B1361" i="1"/>
  <c r="A1361" i="1"/>
  <c r="B75" i="1"/>
  <c r="A75" i="1"/>
  <c r="B262" i="1"/>
  <c r="A262" i="1"/>
  <c r="B459" i="1"/>
  <c r="A459" i="1"/>
  <c r="B687" i="1"/>
  <c r="A687" i="1"/>
  <c r="B677" i="1"/>
  <c r="A677" i="1"/>
  <c r="B1345" i="1"/>
  <c r="A1345" i="1"/>
  <c r="B394" i="1"/>
  <c r="A394" i="1"/>
  <c r="B1438" i="1"/>
  <c r="A1438" i="1"/>
  <c r="B949" i="1"/>
  <c r="A949" i="1"/>
  <c r="B836" i="1"/>
  <c r="A836" i="1"/>
  <c r="B263" i="1"/>
  <c r="A263" i="1"/>
  <c r="B1751" i="1"/>
  <c r="A1751" i="1"/>
  <c r="B72" i="1"/>
  <c r="A72" i="1"/>
  <c r="B645" i="1"/>
  <c r="A645" i="1"/>
  <c r="B1769" i="1"/>
  <c r="A1769" i="1"/>
  <c r="B261" i="1"/>
  <c r="A261" i="1"/>
  <c r="B1756" i="1"/>
  <c r="A1756" i="1"/>
  <c r="B458" i="1"/>
  <c r="A458" i="1"/>
  <c r="B1301" i="1"/>
  <c r="A1301" i="1"/>
  <c r="B935" i="1"/>
  <c r="A935" i="1"/>
  <c r="B657" i="1"/>
  <c r="A657" i="1"/>
  <c r="B1429" i="1"/>
  <c r="A1429" i="1"/>
  <c r="B1630" i="1"/>
  <c r="A1630" i="1"/>
  <c r="B937" i="1"/>
  <c r="A937" i="1"/>
  <c r="B1263" i="1"/>
  <c r="A1263" i="1"/>
  <c r="B1605" i="1"/>
  <c r="A1605" i="1"/>
  <c r="B1046" i="1"/>
  <c r="A1046" i="1"/>
  <c r="B658" i="1"/>
  <c r="A658" i="1"/>
  <c r="B1047" i="1"/>
  <c r="A1047" i="1"/>
  <c r="B259" i="1" l="1"/>
  <c r="A259" i="1"/>
  <c r="B1113" i="1"/>
  <c r="A1113" i="1"/>
  <c r="B755" i="1"/>
  <c r="A755" i="1"/>
  <c r="B1500" i="1"/>
  <c r="A1500" i="1"/>
  <c r="B1114" i="1"/>
  <c r="A1114" i="1"/>
  <c r="B1202" i="1"/>
  <c r="A1202" i="1"/>
  <c r="B249" i="1"/>
  <c r="A249" i="1"/>
  <c r="B772" i="1"/>
  <c r="A772" i="1"/>
  <c r="B1331" i="1"/>
  <c r="A1331" i="1"/>
  <c r="B618" i="1"/>
  <c r="A618" i="1"/>
  <c r="B518" i="1"/>
  <c r="A518" i="1"/>
  <c r="B1790" i="1"/>
  <c r="A1790" i="1"/>
  <c r="B224" i="1"/>
  <c r="A224" i="1"/>
  <c r="B1739" i="1"/>
  <c r="A1739" i="1"/>
  <c r="B667" i="1"/>
  <c r="A667" i="1"/>
  <c r="B256" i="1"/>
  <c r="A256" i="1"/>
  <c r="B654" i="1"/>
  <c r="A654" i="1"/>
  <c r="B1314" i="1"/>
  <c r="A1314" i="1"/>
  <c r="B1262" i="1"/>
  <c r="A1262" i="1"/>
  <c r="B1599" i="1"/>
  <c r="A1599" i="1"/>
  <c r="B324" i="1"/>
  <c r="A324" i="1"/>
  <c r="B361" i="1"/>
  <c r="A361" i="1"/>
  <c r="B713" i="1"/>
  <c r="A713" i="1"/>
  <c r="B1290" i="1"/>
  <c r="A1290" i="1"/>
  <c r="B378" i="1"/>
  <c r="A378" i="1"/>
  <c r="B735" i="1"/>
  <c r="A735" i="1"/>
  <c r="B1352" i="1"/>
  <c r="A1352" i="1"/>
  <c r="B826" i="1"/>
  <c r="A826" i="1"/>
  <c r="B605" i="1"/>
  <c r="A605" i="1"/>
  <c r="B594" i="1"/>
  <c r="A594" i="1"/>
  <c r="B714" i="1"/>
  <c r="A714" i="1"/>
  <c r="B199" i="1"/>
  <c r="A199" i="1"/>
  <c r="B1389" i="1"/>
  <c r="A1389" i="1"/>
  <c r="B363" i="1"/>
  <c r="A363" i="1"/>
  <c r="B1315" i="1"/>
  <c r="A1315" i="1"/>
  <c r="B1341" i="1"/>
  <c r="A1341" i="1"/>
  <c r="B295" i="1"/>
  <c r="A295" i="1"/>
  <c r="B395" i="1"/>
  <c r="A395" i="1"/>
  <c r="B1466" i="1"/>
  <c r="A1466" i="1"/>
  <c r="B798" i="1"/>
  <c r="A798" i="1"/>
  <c r="B737" i="1"/>
  <c r="A737" i="1"/>
  <c r="B1261" i="1"/>
  <c r="A1261" i="1"/>
  <c r="B1247" i="1"/>
  <c r="A1247" i="1"/>
  <c r="B205" i="1"/>
  <c r="A205" i="1"/>
  <c r="B1465" i="1"/>
  <c r="A1465" i="1"/>
  <c r="B438" i="1"/>
  <c r="A438" i="1"/>
  <c r="B1313" i="1"/>
  <c r="A1313" i="1"/>
  <c r="B1530" i="1"/>
  <c r="A1530" i="1"/>
  <c r="B1682" i="1"/>
  <c r="A1682" i="1"/>
  <c r="B625" i="1"/>
  <c r="A625" i="1"/>
  <c r="B1496" i="1"/>
  <c r="A1496" i="1"/>
  <c r="B218" i="1"/>
  <c r="A218" i="1"/>
  <c r="B1757" i="1"/>
  <c r="A1757" i="1"/>
  <c r="B225" i="1"/>
  <c r="A225" i="1"/>
  <c r="B264" i="1"/>
  <c r="A264" i="1"/>
  <c r="B1450" i="1"/>
  <c r="A1450" i="1"/>
  <c r="B1601" i="1"/>
  <c r="A1601" i="1"/>
  <c r="B733" i="1"/>
  <c r="A733" i="1"/>
  <c r="B736" i="1"/>
  <c r="A736" i="1"/>
  <c r="B1360" i="1"/>
  <c r="A1360" i="1"/>
  <c r="B506" i="1"/>
  <c r="A506" i="1"/>
  <c r="B1277" i="1"/>
  <c r="A1277" i="1"/>
  <c r="B362" i="1"/>
  <c r="A362" i="1"/>
  <c r="B1625" i="1"/>
  <c r="A1625" i="1"/>
  <c r="B1239" i="1"/>
  <c r="A1239" i="1"/>
  <c r="B1383" i="1"/>
  <c r="A1383" i="1"/>
  <c r="B763" i="1"/>
  <c r="A763" i="1"/>
  <c r="B1115" i="1"/>
  <c r="A1115" i="1"/>
  <c r="B853" i="1"/>
  <c r="A853" i="1"/>
  <c r="B1320" i="1"/>
  <c r="A1320" i="1"/>
  <c r="B934" i="1"/>
  <c r="A934" i="1"/>
  <c r="B1095" i="1"/>
  <c r="A1095" i="1"/>
  <c r="B663" i="1"/>
  <c r="A663" i="1"/>
  <c r="B100" i="1"/>
  <c r="A100" i="1"/>
  <c r="B991" i="1"/>
  <c r="A991" i="1"/>
  <c r="B419" i="1"/>
  <c r="B112" i="1"/>
  <c r="A112" i="1"/>
  <c r="B1118" i="1"/>
  <c r="A1118" i="1"/>
  <c r="B1086" i="1"/>
  <c r="A1086" i="1"/>
  <c r="B439" i="1"/>
  <c r="A439" i="1"/>
  <c r="B223" i="1"/>
  <c r="A223" i="1"/>
  <c r="B265" i="1"/>
  <c r="A265" i="1"/>
  <c r="B34" i="1"/>
  <c r="A34" i="1"/>
  <c r="B1364" i="1"/>
  <c r="A1364" i="1"/>
  <c r="B610" i="1"/>
  <c r="A610" i="1"/>
  <c r="B790" i="1"/>
  <c r="A790" i="1"/>
  <c r="B1209" i="1"/>
  <c r="A1209" i="1"/>
  <c r="B503" i="1" l="1"/>
  <c r="A503" i="1"/>
  <c r="B1393" i="1"/>
  <c r="A1393" i="1"/>
  <c r="B730" i="1"/>
  <c r="A730" i="1"/>
  <c r="B780" i="1"/>
  <c r="A780" i="1"/>
  <c r="B1254" i="1"/>
  <c r="A1254" i="1"/>
  <c r="B1768" i="1"/>
  <c r="A1768" i="1"/>
  <c r="B504" i="1"/>
  <c r="A504" i="1"/>
  <c r="B221" i="1"/>
  <c r="A221" i="1"/>
  <c r="B1436" i="1"/>
  <c r="A1436" i="1"/>
  <c r="B1525" i="1"/>
  <c r="A1525" i="1"/>
  <c r="B28" i="1"/>
  <c r="A28" i="1"/>
  <c r="B1199" i="1"/>
  <c r="A1199" i="1"/>
  <c r="B1188" i="1"/>
  <c r="A1188" i="1"/>
  <c r="B437" i="1"/>
  <c r="A437" i="1"/>
  <c r="B1482" i="1"/>
  <c r="A1482" i="1"/>
  <c r="B849" i="1"/>
  <c r="A849" i="1"/>
  <c r="B99" i="1"/>
  <c r="A99" i="1"/>
  <c r="B70" i="1"/>
  <c r="A70" i="1"/>
  <c r="B490" i="1"/>
  <c r="A490" i="1"/>
  <c r="B1197" i="1"/>
  <c r="A1197" i="1"/>
  <c r="B192" i="1"/>
  <c r="A192" i="1"/>
  <c r="B424" i="1"/>
  <c r="A424" i="1"/>
  <c r="B1600" i="1"/>
  <c r="A1600" i="1"/>
  <c r="B1528" i="1"/>
  <c r="A1528" i="1"/>
  <c r="B546" i="1"/>
  <c r="A546" i="1"/>
  <c r="B1112" i="1"/>
  <c r="A1112" i="1"/>
  <c r="B1117" i="1"/>
  <c r="A1117" i="1"/>
  <c r="B1598" i="1"/>
  <c r="A1598" i="1"/>
  <c r="B1789" i="1"/>
  <c r="A1789" i="1"/>
  <c r="B1629" i="1"/>
  <c r="A1629" i="1"/>
  <c r="B380" i="1"/>
  <c r="A380" i="1"/>
  <c r="B544" i="1"/>
  <c r="A544" i="1"/>
  <c r="B1788" i="1"/>
  <c r="A1788" i="1"/>
  <c r="B931" i="1"/>
  <c r="A931" i="1"/>
  <c r="B782" i="1"/>
  <c r="A782" i="1"/>
  <c r="B850" i="1"/>
  <c r="A850" i="1"/>
  <c r="B1330" i="1"/>
  <c r="A1330" i="1"/>
  <c r="B220" i="1"/>
  <c r="A220" i="1"/>
  <c r="B676" i="1"/>
  <c r="A676" i="1"/>
  <c r="B1142" i="1"/>
  <c r="A1142" i="1"/>
  <c r="B71" i="1"/>
  <c r="A71" i="1"/>
  <c r="B360" i="1"/>
  <c r="A360" i="1"/>
  <c r="B325" i="1"/>
  <c r="A325" i="1"/>
  <c r="B1300" i="1"/>
  <c r="A1300" i="1"/>
  <c r="B1686" i="1"/>
  <c r="A1686" i="1"/>
  <c r="B335" i="1"/>
  <c r="A335" i="1"/>
  <c r="B446" i="1"/>
  <c r="A446" i="1"/>
  <c r="B604" i="1"/>
  <c r="A604" i="1"/>
  <c r="B491" i="1"/>
  <c r="A491" i="1"/>
  <c r="B1116" i="1"/>
  <c r="A1116" i="1"/>
  <c r="B656" i="1"/>
  <c r="A656" i="1"/>
  <c r="B517" i="1"/>
  <c r="A517" i="1"/>
  <c r="B1447" i="1"/>
  <c r="A1447" i="1"/>
  <c r="B23" i="1"/>
  <c r="A23" i="1"/>
  <c r="B969" i="1"/>
  <c r="A969" i="1"/>
  <c r="B1545" i="1"/>
  <c r="A1545" i="1"/>
  <c r="B995" i="1"/>
  <c r="A995" i="1"/>
  <c r="B1279" i="1"/>
  <c r="A1279" i="1"/>
  <c r="B1015" i="1"/>
  <c r="A1015" i="1"/>
  <c r="B933" i="1"/>
  <c r="A933" i="1"/>
  <c r="B871" i="1"/>
  <c r="A871" i="1"/>
  <c r="B613" i="1"/>
  <c r="A613" i="1"/>
  <c r="B634" i="1"/>
  <c r="A634" i="1"/>
  <c r="B1499" i="1"/>
  <c r="A1499" i="1"/>
  <c r="B1417" i="1"/>
  <c r="A1417" i="1"/>
  <c r="B260" i="1"/>
  <c r="A260" i="1"/>
  <c r="B505" i="1"/>
  <c r="A505" i="1"/>
  <c r="B165" i="1"/>
  <c r="A165" i="1"/>
  <c r="B670" i="1"/>
  <c r="A670" i="1"/>
  <c r="B932" i="1"/>
  <c r="A932" i="1"/>
  <c r="B640" i="1"/>
  <c r="A640" i="1"/>
  <c r="B1260" i="1"/>
  <c r="A1260" i="1"/>
  <c r="B222" i="1"/>
  <c r="A222" i="1"/>
  <c r="B896" i="1"/>
  <c r="A896" i="1"/>
  <c r="B397" i="1"/>
  <c r="A397" i="1"/>
  <c r="B201" i="1"/>
  <c r="A201" i="1"/>
  <c r="B204" i="1"/>
  <c r="A204" i="1"/>
  <c r="B1005" i="1"/>
  <c r="A1005" i="1"/>
  <c r="B1133" i="1"/>
  <c r="A1133" i="1"/>
  <c r="B1655" i="1"/>
  <c r="A1655" i="1"/>
  <c r="B675" i="1"/>
  <c r="A675" i="1"/>
  <c r="B1329" i="1"/>
  <c r="A1329" i="1"/>
  <c r="B1781" i="1"/>
  <c r="A1781" i="1"/>
  <c r="B1646" i="1"/>
  <c r="A1646" i="1"/>
  <c r="B401" i="1"/>
  <c r="A401" i="1"/>
  <c r="B1748" i="1"/>
  <c r="A1748" i="1"/>
  <c r="B771" i="1"/>
  <c r="A771" i="1"/>
  <c r="B379" i="1"/>
  <c r="A379" i="1"/>
  <c r="B1537" i="1"/>
  <c r="A1537" i="1"/>
  <c r="B589" i="1"/>
  <c r="A589" i="1"/>
  <c r="B588" i="1" l="1"/>
  <c r="A588" i="1"/>
  <c r="B1767" i="1"/>
  <c r="A1767" i="1"/>
  <c r="B603" i="1"/>
  <c r="A603" i="1"/>
  <c r="B545" i="1"/>
  <c r="A545" i="1"/>
  <c r="B68" i="1"/>
  <c r="A68" i="1"/>
  <c r="B1716" i="1"/>
  <c r="A1716" i="1"/>
  <c r="B712" i="1"/>
  <c r="A712" i="1"/>
  <c r="B1624" i="1"/>
  <c r="A1624" i="1"/>
  <c r="B1435" i="1"/>
  <c r="A1435" i="1"/>
  <c r="B651" i="1"/>
  <c r="A651" i="1"/>
  <c r="B1169" i="1"/>
  <c r="A1169" i="1"/>
  <c r="B652" i="1"/>
  <c r="A652" i="1"/>
  <c r="B1346" i="1"/>
  <c r="A1346" i="1"/>
  <c r="B1480" i="1"/>
  <c r="A1480" i="1"/>
  <c r="B866" i="1"/>
  <c r="A866" i="1"/>
  <c r="B626" i="1"/>
  <c r="A626" i="1"/>
  <c r="B255" i="1"/>
  <c r="A255" i="1"/>
  <c r="B298" i="1"/>
  <c r="A298" i="1"/>
  <c r="B469" i="1"/>
  <c r="A469" i="1"/>
  <c r="B1244" i="1"/>
  <c r="A1244" i="1"/>
  <c r="B1405" i="1"/>
  <c r="A1405" i="1"/>
  <c r="B867" i="1"/>
  <c r="A867" i="1"/>
  <c r="B1645" i="1"/>
  <c r="A1645" i="1"/>
  <c r="B1108" i="1"/>
  <c r="A1108" i="1"/>
  <c r="B1628" i="1"/>
  <c r="A1628" i="1"/>
  <c r="B1291" i="1"/>
  <c r="A1291" i="1"/>
  <c r="B1635" i="1"/>
  <c r="A1635" i="1"/>
  <c r="B252" i="1"/>
  <c r="A252" i="1"/>
  <c r="B1597" i="1"/>
  <c r="A1597" i="1"/>
  <c r="B1080" i="1"/>
  <c r="A1080" i="1"/>
  <c r="B1259" i="1"/>
  <c r="A1259" i="1"/>
  <c r="B779" i="1"/>
  <c r="A779" i="1"/>
  <c r="B435" i="1"/>
  <c r="A435" i="1"/>
  <c r="B870" i="1"/>
  <c r="A870" i="1"/>
  <c r="B685" i="1"/>
  <c r="A685" i="1"/>
  <c r="B219" i="1"/>
  <c r="A219" i="1"/>
  <c r="B24" i="1"/>
  <c r="A24" i="1"/>
  <c r="B686" i="1"/>
  <c r="A686" i="1"/>
  <c r="B916" i="1"/>
  <c r="A916" i="1"/>
  <c r="B929" i="1"/>
  <c r="A929" i="1"/>
  <c r="B1310" i="1"/>
  <c r="A1310" i="1"/>
  <c r="B869" i="1"/>
  <c r="A869" i="1"/>
  <c r="B719" i="1"/>
  <c r="A719" i="1"/>
  <c r="B1170" i="1"/>
  <c r="A1170" i="1"/>
  <c r="B1671" i="1"/>
  <c r="A1671" i="1"/>
  <c r="B436" i="1"/>
  <c r="A436" i="1"/>
  <c r="B532" i="1"/>
  <c r="A532" i="1"/>
  <c r="B69" i="1"/>
  <c r="A69" i="1"/>
  <c r="B1266" i="1"/>
  <c r="A1266" i="1"/>
  <c r="B470" i="1"/>
  <c r="A470" i="1"/>
  <c r="B930" i="1"/>
  <c r="A930" i="1"/>
  <c r="B653" i="1"/>
  <c r="A653" i="1"/>
  <c r="B695" i="1"/>
  <c r="A695" i="1"/>
  <c r="B26" i="1"/>
  <c r="A26" i="1"/>
  <c r="B27" i="1"/>
  <c r="A27" i="1"/>
  <c r="B1714" i="1"/>
  <c r="A1714" i="1"/>
  <c r="B669" i="1"/>
  <c r="A669" i="1"/>
  <c r="B928" i="1"/>
  <c r="A928" i="1"/>
  <c r="B845" i="1"/>
  <c r="A845" i="1"/>
  <c r="B471" i="1"/>
  <c r="A471" i="1"/>
  <c r="B1268" i="1"/>
  <c r="A1268" i="1"/>
  <c r="B825" i="1"/>
  <c r="A825" i="1"/>
  <c r="B1415" i="1"/>
  <c r="A1415" i="1"/>
  <c r="B759" i="1"/>
  <c r="A759" i="1"/>
  <c r="B914" i="1"/>
  <c r="A914" i="1"/>
  <c r="B25" i="1"/>
  <c r="A25" i="1"/>
  <c r="B1596" i="1"/>
  <c r="A1596" i="1"/>
  <c r="B1195" i="1"/>
  <c r="A1195" i="1"/>
  <c r="B414" i="1"/>
  <c r="A414" i="1"/>
  <c r="B1232" i="1"/>
  <c r="A1232" i="1"/>
  <c r="B125" i="1"/>
  <c r="A125" i="1"/>
  <c r="B67" i="1"/>
  <c r="A67" i="1"/>
  <c r="B852" i="1"/>
  <c r="A852" i="1"/>
  <c r="B860" i="1"/>
  <c r="A860" i="1"/>
  <c r="B236" i="1"/>
  <c r="A236" i="1"/>
  <c r="B915" i="1"/>
  <c r="A915" i="1"/>
  <c r="B1747" i="1"/>
  <c r="A1747" i="1"/>
  <c r="B984" i="1"/>
  <c r="A984" i="1"/>
  <c r="B1200" i="1"/>
  <c r="A1200" i="1"/>
  <c r="A950" i="1" l="1"/>
  <c r="B950" i="1"/>
  <c r="A961" i="1"/>
  <c r="B961" i="1"/>
  <c r="A956" i="1"/>
  <c r="B956" i="1"/>
  <c r="B1494" i="1"/>
  <c r="A1494" i="1"/>
  <c r="B1040" i="1"/>
  <c r="A1040" i="1"/>
  <c r="B1002" i="1"/>
  <c r="A1002" i="1"/>
  <c r="B1085" i="1"/>
  <c r="A1085" i="1"/>
  <c r="B1210" i="1"/>
  <c r="A1210" i="1"/>
  <c r="B1253" i="1"/>
  <c r="A1253" i="1"/>
  <c r="B641" i="1"/>
  <c r="A641" i="1"/>
  <c r="B543" i="1"/>
  <c r="A543" i="1"/>
  <c r="B304" i="1"/>
  <c r="A304" i="1"/>
  <c r="B913" i="1"/>
  <c r="A913" i="1"/>
  <c r="B1045" i="1"/>
  <c r="A1045" i="1"/>
  <c r="B824" i="1"/>
  <c r="A824" i="1"/>
  <c r="B573" i="1"/>
  <c r="A573" i="1"/>
  <c r="B1043" i="1"/>
  <c r="A1043" i="1"/>
  <c r="B903" i="1"/>
  <c r="A903" i="1"/>
  <c r="B185" i="1"/>
  <c r="A185" i="1"/>
  <c r="B1042" i="1"/>
  <c r="A1042" i="1"/>
  <c r="B1706" i="1"/>
  <c r="A1706" i="1"/>
  <c r="B20" i="1"/>
  <c r="A20" i="1"/>
  <c r="B1400" i="1"/>
  <c r="A1400" i="1"/>
  <c r="B1038" i="1"/>
  <c r="A1038" i="1"/>
  <c r="B251" i="1"/>
  <c r="A251" i="1"/>
  <c r="B323" i="1"/>
  <c r="A323" i="1"/>
  <c r="B1229" i="1"/>
  <c r="A1229" i="1"/>
  <c r="B176" i="1"/>
  <c r="A176" i="1"/>
  <c r="B66" i="1"/>
  <c r="A66" i="1"/>
  <c r="B1039" i="1"/>
  <c r="A1039" i="1"/>
  <c r="B393" i="1"/>
  <c r="A393" i="1"/>
  <c r="B489" i="1"/>
  <c r="A489" i="1"/>
  <c r="B1228" i="1"/>
  <c r="A1228" i="1"/>
  <c r="B770" i="1"/>
  <c r="A770" i="1"/>
  <c r="B197" i="1"/>
  <c r="A197" i="1"/>
  <c r="B1041" i="1"/>
  <c r="A1041" i="1"/>
  <c r="B602" i="1"/>
  <c r="A602" i="1"/>
  <c r="B1504" i="1"/>
  <c r="A1504" i="1"/>
  <c r="B968" i="1"/>
  <c r="A968" i="1"/>
  <c r="B322" i="1"/>
  <c r="A322" i="1"/>
  <c r="B1798" i="1"/>
  <c r="A1798" i="1"/>
  <c r="B1037" i="1"/>
  <c r="A1037" i="1"/>
  <c r="B343" i="1"/>
  <c r="A343" i="1"/>
  <c r="B1713" i="1"/>
  <c r="A1713" i="1"/>
  <c r="B1340" i="1"/>
  <c r="A1340" i="1"/>
  <c r="B904" i="1"/>
  <c r="A904" i="1"/>
  <c r="B959" i="1"/>
  <c r="A959" i="1"/>
  <c r="B467" i="1"/>
  <c r="A467" i="1"/>
  <c r="B422" i="1"/>
  <c r="A422" i="1"/>
  <c r="B22" i="1"/>
  <c r="A22" i="1"/>
  <c r="B1348" i="1"/>
  <c r="A1348" i="1"/>
  <c r="B1503" i="1"/>
  <c r="A1503" i="1"/>
  <c r="B299" i="1"/>
  <c r="A299" i="1"/>
  <c r="B868" i="1"/>
  <c r="A868" i="1"/>
  <c r="B434" i="1"/>
  <c r="A434" i="1"/>
  <c r="B1309" i="1"/>
  <c r="A1309" i="1"/>
  <c r="B1595" i="1"/>
  <c r="A1595" i="1"/>
  <c r="B320" i="1"/>
  <c r="A320" i="1"/>
  <c r="B184" i="1"/>
  <c r="A184" i="1"/>
  <c r="B1196" i="1"/>
  <c r="A1196" i="1"/>
  <c r="B5" i="1"/>
  <c r="A5" i="1"/>
  <c r="B947" i="1"/>
  <c r="A947" i="1"/>
  <c r="B1593" i="1"/>
  <c r="A1593" i="1"/>
  <c r="B1036" i="1"/>
  <c r="A1036" i="1"/>
  <c r="B967" i="1"/>
  <c r="A967" i="1"/>
  <c r="B186" i="1"/>
  <c r="A186" i="1"/>
  <c r="B1441" i="1"/>
  <c r="A1441" i="1"/>
  <c r="B1111" i="1"/>
  <c r="A1111" i="1"/>
  <c r="B601" i="1"/>
  <c r="A601" i="1"/>
  <c r="B1022" i="1"/>
  <c r="A1022" i="1"/>
  <c r="B117" i="1"/>
  <c r="A117" i="1"/>
  <c r="B164" i="1"/>
  <c r="A164" i="1"/>
  <c r="B674" i="1"/>
  <c r="A674" i="1"/>
  <c r="B1594" i="1"/>
  <c r="A1594" i="1"/>
  <c r="B258" i="1"/>
  <c r="A258" i="1"/>
  <c r="B752" i="1"/>
  <c r="A752" i="1"/>
  <c r="B1481" i="1"/>
  <c r="A1481" i="1"/>
  <c r="B1217" i="1"/>
  <c r="A1217" i="1"/>
  <c r="B1219" i="1"/>
  <c r="A1219" i="1"/>
  <c r="B1187" i="1"/>
  <c r="A1187" i="1"/>
  <c r="B1416" i="1"/>
  <c r="A1416" i="1"/>
  <c r="B742" i="1"/>
  <c r="A742" i="1"/>
  <c r="B1044" i="1"/>
  <c r="A1044" i="1"/>
  <c r="B1218" i="1"/>
  <c r="A1218" i="1"/>
  <c r="B1728" i="1"/>
  <c r="A1728" i="1"/>
  <c r="B1414" i="1"/>
  <c r="A1414" i="1"/>
  <c r="B1252" i="1"/>
  <c r="A1252" i="1"/>
  <c r="B1035" i="1"/>
  <c r="A1035" i="1"/>
  <c r="B65" i="1"/>
  <c r="A65" i="1"/>
  <c r="B305" i="1"/>
  <c r="A305" i="1"/>
  <c r="B1079" i="1"/>
  <c r="A1079" i="1"/>
  <c r="B198" i="1"/>
  <c r="A198" i="1"/>
  <c r="B921" i="1"/>
  <c r="A921" i="1"/>
  <c r="B760" i="1"/>
  <c r="A760" i="1"/>
  <c r="B951" i="1"/>
  <c r="A951" i="1"/>
  <c r="B1211" i="1"/>
  <c r="A1211" i="1"/>
  <c r="B514" i="1" l="1"/>
  <c r="A514" i="1"/>
  <c r="B997" i="1"/>
  <c r="A997" i="1"/>
  <c r="B149" i="1"/>
  <c r="A149" i="1"/>
  <c r="B207" i="1"/>
  <c r="A207" i="1"/>
  <c r="B1276" i="1"/>
  <c r="A1276" i="1"/>
  <c r="B1034" i="1"/>
  <c r="A1034" i="1"/>
  <c r="B1289" i="1"/>
  <c r="A1289" i="1"/>
  <c r="B559" i="1"/>
  <c r="A559" i="1"/>
  <c r="B789" i="1"/>
  <c r="A789" i="1"/>
  <c r="B1558" i="1"/>
  <c r="A1558" i="1"/>
  <c r="B1339" i="1"/>
  <c r="A1339" i="1"/>
  <c r="B560" i="1"/>
  <c r="A560" i="1"/>
  <c r="B902" i="1"/>
  <c r="A902" i="1"/>
  <c r="B644" i="1"/>
  <c r="A644" i="1"/>
  <c r="B1755" i="1"/>
  <c r="A1755" i="1"/>
  <c r="B418" i="1"/>
  <c r="A418" i="1"/>
  <c r="B482" i="1"/>
  <c r="A482" i="1"/>
  <c r="B21" i="1"/>
  <c r="A21" i="1"/>
  <c r="B1705" i="1"/>
  <c r="A1705" i="1"/>
  <c r="B1703" i="1"/>
  <c r="A1703" i="1"/>
  <c r="B1704" i="1"/>
  <c r="A1704" i="1"/>
  <c r="B1702" i="1"/>
  <c r="A1702" i="1"/>
  <c r="B1701" i="1"/>
  <c r="A1701" i="1"/>
  <c r="B1700" i="1"/>
  <c r="A1700" i="1"/>
  <c r="B1699" i="1"/>
  <c r="A1699" i="1"/>
  <c r="B1698" i="1"/>
  <c r="A1698" i="1"/>
  <c r="B561" i="1"/>
  <c r="A561" i="1"/>
  <c r="B600" i="1"/>
  <c r="A600" i="1"/>
  <c r="B358" i="1"/>
  <c r="A358" i="1"/>
  <c r="B966" i="1"/>
  <c r="A966" i="1"/>
  <c r="B334" i="1"/>
  <c r="A334" i="1"/>
  <c r="B554" i="1"/>
  <c r="A554" i="1"/>
  <c r="B1729" i="1"/>
  <c r="A1729" i="1"/>
  <c r="B1715" i="1"/>
  <c r="A1715" i="1"/>
  <c r="B443" i="1"/>
  <c r="A443" i="1"/>
  <c r="B148" i="1"/>
  <c r="A148" i="1"/>
  <c r="B1214" i="1"/>
  <c r="A1214" i="1"/>
  <c r="B1319" i="1"/>
  <c r="A1319" i="1"/>
  <c r="B1662" i="1"/>
  <c r="A1662" i="1"/>
  <c r="B118" i="1"/>
  <c r="A118" i="1"/>
  <c r="B1014" i="1"/>
  <c r="A1014" i="1"/>
  <c r="B211" i="1"/>
  <c r="A211" i="1"/>
  <c r="B1780" i="1"/>
  <c r="A1780" i="1"/>
  <c r="B599" i="1"/>
  <c r="A599" i="1"/>
  <c r="B410" i="1"/>
  <c r="A410" i="1"/>
  <c r="B542" i="1"/>
  <c r="A542" i="1"/>
  <c r="B1302" i="1"/>
  <c r="A1302" i="1"/>
  <c r="B59" i="1"/>
  <c r="A59" i="1"/>
  <c r="B1511" i="1"/>
  <c r="A1511" i="1"/>
  <c r="B173" i="1"/>
  <c r="A173" i="1"/>
  <c r="B516" i="1"/>
  <c r="A516" i="1"/>
  <c r="B1592" i="1"/>
  <c r="A1592" i="1"/>
  <c r="B321" i="1"/>
  <c r="A321" i="1"/>
  <c r="B357" i="1"/>
  <c r="A357" i="1"/>
  <c r="B147" i="1"/>
  <c r="A147" i="1"/>
  <c r="B254" i="1"/>
  <c r="A254" i="1"/>
  <c r="B612" i="1"/>
  <c r="A612" i="1"/>
  <c r="B1591" i="1"/>
  <c r="A1591" i="1"/>
  <c r="B865" i="1"/>
  <c r="A865" i="1"/>
  <c r="B1251" i="1"/>
  <c r="A1251" i="1"/>
  <c r="B217" i="1"/>
  <c r="A217" i="1"/>
  <c r="B356" i="1"/>
  <c r="A356" i="1"/>
  <c r="B1681" i="1"/>
  <c r="A1681" i="1"/>
  <c r="B1230" i="1"/>
  <c r="A1230" i="1"/>
  <c r="B58" i="1"/>
  <c r="A58" i="1"/>
  <c r="B253" i="1"/>
  <c r="A253" i="1"/>
  <c r="B1359" i="1"/>
  <c r="A1359" i="1"/>
  <c r="B1231" i="1"/>
  <c r="A1231" i="1"/>
  <c r="B374" i="1"/>
  <c r="A374" i="1"/>
  <c r="B1227" i="1"/>
  <c r="A1227" i="1"/>
  <c r="B1667" i="1"/>
  <c r="A1667" i="1"/>
  <c r="B1590" i="1"/>
  <c r="A1590" i="1"/>
  <c r="B1168" i="1"/>
  <c r="A1168" i="1"/>
  <c r="B174" i="1"/>
  <c r="A174" i="1"/>
  <c r="B1110" i="1"/>
  <c r="A1110" i="1"/>
  <c r="B1727" i="1"/>
  <c r="A1727" i="1"/>
  <c r="B515" i="1"/>
  <c r="A515" i="1"/>
  <c r="B122" i="1"/>
  <c r="A122" i="1"/>
  <c r="B423" i="1"/>
  <c r="A423" i="1"/>
  <c r="B468" i="1"/>
  <c r="A468" i="1"/>
  <c r="B1712" i="1"/>
  <c r="A1712" i="1"/>
  <c r="B1226" i="1"/>
  <c r="A1226" i="1"/>
  <c r="B1527" i="1"/>
  <c r="A1527" i="1"/>
  <c r="B1077" i="1"/>
  <c r="A1077" i="1"/>
  <c r="A948" i="1" l="1"/>
  <c r="B948" i="1"/>
  <c r="B1785" i="1"/>
  <c r="A1785" i="1"/>
  <c r="B63" i="1"/>
  <c r="A63" i="1"/>
  <c r="B1649" i="1"/>
  <c r="A1649" i="1"/>
  <c r="B598" i="1"/>
  <c r="A598" i="1"/>
  <c r="B1745" i="1"/>
  <c r="A1745" i="1"/>
  <c r="B1479" i="1"/>
  <c r="A1479" i="1"/>
  <c r="B1198" i="1"/>
  <c r="A1198" i="1"/>
  <c r="B98" i="1"/>
  <c r="A98" i="1"/>
  <c r="B1328" i="1"/>
  <c r="A1328" i="1"/>
  <c r="B1413" i="1"/>
  <c r="A1413" i="1"/>
  <c r="B854" i="1"/>
  <c r="A854" i="1"/>
  <c r="B488" i="1"/>
  <c r="A488" i="1"/>
  <c r="B352" i="1"/>
  <c r="A352" i="1"/>
  <c r="B1462" i="1"/>
  <c r="A1462" i="1"/>
  <c r="B1449" i="1"/>
  <c r="A1449" i="1"/>
  <c r="B61" i="1"/>
  <c r="A61" i="1"/>
  <c r="B1338" i="1"/>
  <c r="A1338" i="1"/>
  <c r="B1132" i="1"/>
  <c r="A1132" i="1"/>
  <c r="B64" i="1"/>
  <c r="A64" i="1"/>
  <c r="B1351" i="1"/>
  <c r="A1351" i="1"/>
  <c r="B297" i="1"/>
  <c r="A297" i="1"/>
  <c r="B355" i="1"/>
  <c r="A355" i="1"/>
  <c r="B1786" i="1"/>
  <c r="A1786" i="1"/>
  <c r="B1141" i="1"/>
  <c r="A1141" i="1"/>
  <c r="B245" i="1"/>
  <c r="A245" i="1"/>
  <c r="B1526" i="1"/>
  <c r="A1526" i="1"/>
  <c r="B1318" i="1"/>
  <c r="A1318" i="1"/>
  <c r="B1167" i="1"/>
  <c r="A1167" i="1"/>
  <c r="B1787" i="1"/>
  <c r="A1787" i="1"/>
  <c r="B822" i="1"/>
  <c r="A822" i="1"/>
  <c r="B19" i="1"/>
  <c r="A19" i="1"/>
  <c r="B1691" i="1"/>
  <c r="A1691" i="1"/>
  <c r="B723" i="1"/>
  <c r="A723" i="1"/>
  <c r="B1478" i="1"/>
  <c r="A1478" i="1"/>
  <c r="B1238" i="1"/>
  <c r="A1238" i="1"/>
  <c r="B731" i="1"/>
  <c r="A731" i="1"/>
  <c r="B294" i="1"/>
  <c r="A294" i="1"/>
  <c r="B1589" i="1"/>
  <c r="A1589" i="1"/>
  <c r="B1347" i="1"/>
  <c r="A1347" i="1"/>
  <c r="B572" i="1"/>
  <c r="A572" i="1"/>
  <c r="B175" i="1"/>
  <c r="A175" i="1"/>
  <c r="B1344" i="1"/>
  <c r="A1344" i="1"/>
  <c r="B1355" i="1"/>
  <c r="A1355" i="1"/>
  <c r="B333" i="1"/>
  <c r="A333" i="1"/>
  <c r="B1078" i="1"/>
  <c r="A1078" i="1"/>
  <c r="B250" i="1"/>
  <c r="A250" i="1"/>
  <c r="B643" i="1"/>
  <c r="A643" i="1"/>
  <c r="B1109" i="1"/>
  <c r="A1109" i="1"/>
  <c r="B158" i="1"/>
  <c r="A158" i="1"/>
  <c r="B633" i="1"/>
  <c r="A633" i="1"/>
  <c r="B1754" i="1"/>
  <c r="A1754" i="1"/>
  <c r="B243" i="1"/>
  <c r="A243" i="1"/>
  <c r="B247" i="1"/>
  <c r="A247" i="1"/>
  <c r="B587" i="1"/>
  <c r="A587" i="1"/>
  <c r="B796" i="1"/>
  <c r="A796" i="1"/>
  <c r="B502" i="1"/>
  <c r="A502" i="1"/>
  <c r="B1464" i="1"/>
  <c r="A1464" i="1"/>
  <c r="B1440" i="1"/>
  <c r="A1440" i="1"/>
  <c r="B1257" i="1"/>
  <c r="A1257" i="1"/>
  <c r="B1126" i="1"/>
  <c r="A1126" i="1"/>
  <c r="B728" i="1"/>
  <c r="A728" i="1"/>
  <c r="B842" i="1"/>
  <c r="A842" i="1"/>
  <c r="B409" i="1"/>
  <c r="A409" i="1"/>
  <c r="B1298" i="1"/>
  <c r="A1298" i="1"/>
  <c r="B725" i="1"/>
  <c r="A725" i="1"/>
  <c r="B1463" i="1"/>
  <c r="A1463" i="1"/>
  <c r="B1692" i="1"/>
  <c r="A1692" i="1"/>
  <c r="B711" i="1"/>
  <c r="A711" i="1"/>
  <c r="B248" i="1"/>
  <c r="A248" i="1"/>
  <c r="B1679" i="1"/>
  <c r="A1679" i="1"/>
  <c r="B246" i="1"/>
  <c r="A246" i="1"/>
  <c r="B1136" i="1"/>
  <c r="A1136" i="1"/>
  <c r="B801" i="1"/>
  <c r="A801" i="1"/>
  <c r="B1357" i="1"/>
  <c r="A1357" i="1"/>
  <c r="B139" i="1"/>
  <c r="A139" i="1"/>
  <c r="B329" i="1"/>
  <c r="A329" i="1"/>
  <c r="B156" i="1"/>
  <c r="A156" i="1"/>
  <c r="B152" i="1"/>
  <c r="A152" i="1"/>
  <c r="B157" i="1"/>
  <c r="A157" i="1"/>
  <c r="B153" i="1"/>
  <c r="A153" i="1"/>
  <c r="B155" i="1"/>
  <c r="A155" i="1"/>
  <c r="B216" i="1"/>
  <c r="A216" i="1"/>
  <c r="B169" i="1"/>
  <c r="A169" i="1"/>
  <c r="B834" i="1"/>
  <c r="A834" i="1"/>
  <c r="B1084" i="1"/>
  <c r="A1084" i="1"/>
  <c r="B134" i="1"/>
  <c r="A134" i="1"/>
  <c r="B864" i="1"/>
  <c r="A864" i="1"/>
  <c r="B1711" i="1"/>
  <c r="A1711" i="1"/>
  <c r="B1710" i="1"/>
  <c r="A1710" i="1"/>
  <c r="B154" i="1"/>
  <c r="A154" i="1"/>
  <c r="B724" i="1"/>
  <c r="A724" i="1"/>
  <c r="B727" i="1"/>
  <c r="A727" i="1"/>
  <c r="B729" i="1"/>
  <c r="A729" i="1"/>
  <c r="B726" i="1"/>
  <c r="A726" i="1"/>
  <c r="B330" i="1"/>
  <c r="A330" i="1"/>
  <c r="B927" i="1" l="1"/>
  <c r="A927" i="1"/>
  <c r="B1557" i="1"/>
  <c r="A1557" i="1"/>
  <c r="B1297" i="1"/>
  <c r="A1297" i="1"/>
  <c r="B1186" i="1"/>
  <c r="A1186" i="1"/>
  <c r="B1334" i="1"/>
  <c r="A1334" i="1"/>
  <c r="B1523" i="1"/>
  <c r="A1523" i="1"/>
  <c r="B1627" i="1"/>
  <c r="A1627" i="1"/>
  <c r="B62" i="1"/>
  <c r="A62" i="1"/>
  <c r="B303" i="1"/>
  <c r="A303" i="1"/>
  <c r="B16" i="1"/>
  <c r="A16" i="1"/>
  <c r="B1182" i="1"/>
  <c r="A1182" i="1"/>
  <c r="B1587" i="1"/>
  <c r="A1587" i="1"/>
  <c r="B1586" i="1"/>
  <c r="A1586" i="1"/>
  <c r="B1472" i="1"/>
  <c r="A1472" i="1"/>
  <c r="B486" i="1"/>
  <c r="A486" i="1"/>
  <c r="B1125" i="1"/>
  <c r="A1125" i="1"/>
  <c r="B820" i="1"/>
  <c r="A820" i="1"/>
  <c r="B1412" i="1"/>
  <c r="A1412" i="1"/>
  <c r="B1180" i="1"/>
  <c r="A1180" i="1"/>
  <c r="B1083" i="1"/>
  <c r="A1083" i="1"/>
  <c r="B60" i="1"/>
  <c r="A60" i="1"/>
  <c r="B647" i="1"/>
  <c r="A647" i="1"/>
  <c r="B1107" i="1"/>
  <c r="A1107" i="1"/>
  <c r="B895" i="1"/>
  <c r="A895" i="1"/>
  <c r="B1093" i="1"/>
  <c r="A1093" i="1"/>
  <c r="B1076" i="1"/>
  <c r="A1076" i="1"/>
  <c r="B583" i="1"/>
  <c r="A583" i="1"/>
  <c r="B1399" i="1"/>
  <c r="A1399" i="1"/>
  <c r="B650" i="1"/>
  <c r="A650" i="1"/>
  <c r="B531" i="1"/>
  <c r="A531" i="1"/>
  <c r="B586" i="1"/>
  <c r="A586" i="1"/>
  <c r="B530" i="1"/>
  <c r="A530" i="1"/>
  <c r="B952" i="1"/>
  <c r="A952" i="1"/>
  <c r="B351" i="1"/>
  <c r="A351" i="1"/>
  <c r="B1521" i="1"/>
  <c r="A1521" i="1"/>
  <c r="B848" i="1"/>
  <c r="A848" i="1"/>
  <c r="B888" i="1"/>
  <c r="A888" i="1"/>
  <c r="B487" i="1"/>
  <c r="A487" i="1"/>
  <c r="B1225" i="1"/>
  <c r="A1225" i="1"/>
  <c r="B400" i="1"/>
  <c r="A400" i="1"/>
  <c r="B1411" i="1"/>
  <c r="A1411" i="1"/>
  <c r="B1546" i="1"/>
  <c r="A1546" i="1"/>
  <c r="B1588" i="1"/>
  <c r="A1588" i="1"/>
  <c r="B709" i="1"/>
  <c r="A709" i="1"/>
  <c r="B302" i="1"/>
  <c r="A302" i="1"/>
  <c r="B420" i="1"/>
  <c r="A420" i="1"/>
  <c r="B1493" i="1"/>
  <c r="A1493" i="1"/>
  <c r="B1354" i="1"/>
  <c r="A1354" i="1"/>
  <c r="B803" i="1"/>
  <c r="A803" i="1"/>
  <c r="B168" i="1"/>
  <c r="A168" i="1"/>
  <c r="B354" i="1"/>
  <c r="A354" i="1"/>
  <c r="B1524" i="1"/>
  <c r="A1524" i="1"/>
  <c r="B1335" i="1"/>
  <c r="A1335" i="1"/>
  <c r="B513" i="1"/>
  <c r="A513" i="1"/>
  <c r="B239" i="1"/>
  <c r="A239" i="1"/>
  <c r="B673" i="1"/>
  <c r="A673" i="1"/>
  <c r="B421" i="1"/>
  <c r="A421" i="1"/>
  <c r="B710" i="1"/>
  <c r="A710" i="1"/>
  <c r="B190" i="1"/>
  <c r="A190" i="1"/>
  <c r="B585" i="1"/>
  <c r="A585" i="1"/>
  <c r="B1398" i="1"/>
  <c r="A1398" i="1"/>
  <c r="B584" i="1"/>
  <c r="A584" i="1"/>
  <c r="B353" i="1"/>
  <c r="A353" i="1"/>
  <c r="B1585" i="1"/>
  <c r="A1585" i="1"/>
  <c r="A954" i="1" l="1"/>
  <c r="B954" i="1"/>
  <c r="B124" i="1"/>
  <c r="A124" i="1"/>
  <c r="B319" i="1"/>
  <c r="A319" i="1"/>
  <c r="B746" i="1"/>
  <c r="A746" i="1"/>
  <c r="B15" i="1"/>
  <c r="A15" i="1"/>
  <c r="B863" i="1"/>
  <c r="A863" i="1"/>
  <c r="B1582" i="1"/>
  <c r="A1582" i="1"/>
  <c r="B1764" i="1"/>
  <c r="A1764" i="1"/>
  <c r="B17" i="1"/>
  <c r="A17" i="1"/>
  <c r="B814" i="1"/>
  <c r="A814" i="1"/>
  <c r="B1358" i="1"/>
  <c r="A1358" i="1"/>
  <c r="B541" i="1"/>
  <c r="A541" i="1"/>
  <c r="B819" i="1"/>
  <c r="A819" i="1"/>
  <c r="B844" i="1"/>
  <c r="A844" i="1"/>
  <c r="B619" i="1"/>
  <c r="A619" i="1"/>
  <c r="B196" i="1"/>
  <c r="A196" i="1"/>
  <c r="B768" i="1"/>
  <c r="A768" i="1"/>
  <c r="B708" i="1"/>
  <c r="A708" i="1"/>
  <c r="B623" i="1"/>
  <c r="A623" i="1"/>
  <c r="B1520" i="1"/>
  <c r="A1520" i="1"/>
  <c r="B215" i="1"/>
  <c r="A215" i="1"/>
  <c r="B210" i="1"/>
  <c r="A210" i="1"/>
  <c r="B291" i="1"/>
  <c r="A291" i="1"/>
  <c r="B1385" i="1"/>
  <c r="A1385" i="1"/>
  <c r="B751" i="1"/>
  <c r="A751" i="1"/>
  <c r="B13" i="1"/>
  <c r="A13" i="1"/>
  <c r="B1584" i="1"/>
  <c r="A1584" i="1"/>
  <c r="B1397" i="1"/>
  <c r="A1397" i="1"/>
  <c r="B851" i="1"/>
  <c r="A851" i="1"/>
  <c r="B331" i="1"/>
  <c r="A331" i="1"/>
  <c r="B1581" i="1"/>
  <c r="A1581" i="1"/>
  <c r="B445" i="1"/>
  <c r="A445" i="1"/>
  <c r="B500" i="1"/>
  <c r="A500" i="1"/>
  <c r="B392" i="1"/>
  <c r="A392" i="1"/>
  <c r="B495" i="1"/>
  <c r="A495" i="1"/>
  <c r="B1181" i="1"/>
  <c r="A1181" i="1"/>
  <c r="B1643" i="1"/>
  <c r="A1643" i="1"/>
  <c r="B890" i="1"/>
  <c r="A890" i="1"/>
  <c r="B1288" i="1"/>
  <c r="A1288" i="1"/>
  <c r="B919" i="1"/>
  <c r="A919" i="1"/>
  <c r="B957" i="1"/>
  <c r="A957" i="1"/>
  <c r="B1157" i="1"/>
  <c r="A1157" i="1"/>
  <c r="B18" i="1"/>
  <c r="A18" i="1"/>
  <c r="B242" i="1"/>
  <c r="A242" i="1"/>
  <c r="B466" i="1"/>
  <c r="A466" i="1"/>
  <c r="B1185" i="1"/>
  <c r="A1185" i="1"/>
  <c r="B582" i="1"/>
  <c r="A582" i="1"/>
  <c r="B707" i="1"/>
  <c r="A707" i="1"/>
  <c r="B455" i="1"/>
  <c r="A455" i="1"/>
  <c r="B1477" i="1"/>
  <c r="A1477" i="1"/>
  <c r="B1295" i="1"/>
  <c r="A1295" i="1"/>
  <c r="B56" i="1"/>
  <c r="A56" i="1"/>
  <c r="B994" i="1"/>
  <c r="A994" i="1"/>
  <c r="B990" i="1"/>
  <c r="A990" i="1"/>
  <c r="B912" i="1"/>
  <c r="A912" i="1"/>
  <c r="B1779" i="1"/>
  <c r="A1779" i="1"/>
  <c r="B454" i="1"/>
  <c r="A454" i="1"/>
  <c r="B1258" i="1"/>
  <c r="A1258" i="1"/>
  <c r="B993" i="1"/>
  <c r="A993" i="1"/>
  <c r="B620" i="1"/>
  <c r="A620" i="1"/>
  <c r="B1784" i="1"/>
  <c r="A1784" i="1"/>
  <c r="B1522" i="1"/>
  <c r="A1522" i="1"/>
  <c r="B1106" i="1"/>
  <c r="A1106" i="1"/>
  <c r="B1001" i="1"/>
  <c r="A1001" i="1"/>
  <c r="B383" i="1"/>
  <c r="A383" i="1"/>
  <c r="B1518" i="1"/>
  <c r="A1518" i="1"/>
  <c r="B621" i="1"/>
  <c r="A621" i="1"/>
  <c r="B481" i="1"/>
  <c r="A481" i="1"/>
  <c r="B473" i="1"/>
  <c r="A473" i="1"/>
  <c r="B571" i="1"/>
  <c r="A571" i="1"/>
  <c r="B244" i="1"/>
  <c r="A244" i="1"/>
  <c r="B926" i="1"/>
  <c r="A926" i="1"/>
  <c r="B501" i="1"/>
  <c r="A501" i="1"/>
  <c r="B1583" i="1"/>
  <c r="A1583" i="1"/>
  <c r="B116" i="1"/>
  <c r="A116" i="1"/>
  <c r="B642" i="1" l="1"/>
  <c r="A642" i="1"/>
  <c r="B925" i="1"/>
  <c r="A925" i="1"/>
  <c r="B1245" i="1"/>
  <c r="A1245" i="1"/>
  <c r="B1456" i="1"/>
  <c r="A1456" i="1"/>
  <c r="B1155" i="1"/>
  <c r="A1155" i="1"/>
  <c r="B1154" i="1"/>
  <c r="A1154" i="1"/>
  <c r="B213" i="1"/>
  <c r="A213" i="1"/>
  <c r="B527" i="1"/>
  <c r="A527" i="1"/>
  <c r="B182" i="1"/>
  <c r="A182" i="1"/>
  <c r="B540" i="1"/>
  <c r="A540" i="1"/>
  <c r="B1021" i="1"/>
  <c r="A1021" i="1"/>
  <c r="B808" i="1"/>
  <c r="A808" i="1"/>
  <c r="B1509" i="1"/>
  <c r="A1509" i="1"/>
  <c r="B143" i="1"/>
  <c r="A143" i="1"/>
  <c r="B1029" i="1"/>
  <c r="A1029" i="1"/>
  <c r="B1275" i="1"/>
  <c r="A1275" i="1"/>
  <c r="B480" i="1"/>
  <c r="A480" i="1"/>
  <c r="B1476" i="1"/>
  <c r="A1476" i="1"/>
  <c r="B1193" i="1"/>
  <c r="A1193" i="1"/>
  <c r="B350" i="1"/>
  <c r="A350" i="1"/>
  <c r="B1028" i="1"/>
  <c r="A1028" i="1"/>
  <c r="B1457" i="1"/>
  <c r="A1457" i="1"/>
  <c r="B1460" i="1"/>
  <c r="A1460" i="1"/>
  <c r="B1461" i="1"/>
  <c r="A1461" i="1"/>
  <c r="B767" i="1"/>
  <c r="A767" i="1"/>
  <c r="B318" i="1"/>
  <c r="A318" i="1"/>
  <c r="B1579" i="1"/>
  <c r="A1579" i="1"/>
  <c r="B1069" i="1"/>
  <c r="A1069" i="1"/>
  <c r="B1458" i="1"/>
  <c r="A1458" i="1"/>
  <c r="B1243" i="1"/>
  <c r="A1243" i="1"/>
  <c r="B301" i="1"/>
  <c r="A301" i="1"/>
  <c r="B821" i="1"/>
  <c r="A821" i="1"/>
  <c r="B1439" i="1"/>
  <c r="A1439" i="1"/>
  <c r="B693" i="1"/>
  <c r="A693" i="1"/>
  <c r="B1455" i="1"/>
  <c r="A1455" i="1"/>
  <c r="B597" i="1"/>
  <c r="A597" i="1"/>
  <c r="B1428" i="1"/>
  <c r="A1428" i="1"/>
  <c r="B1510" i="1"/>
  <c r="A1510" i="1"/>
  <c r="B1577" i="1"/>
  <c r="A1577" i="1"/>
  <c r="B1536" i="1"/>
  <c r="A1536" i="1"/>
  <c r="B745" i="1"/>
  <c r="A745" i="1"/>
  <c r="B1410" i="1"/>
  <c r="A1410" i="1"/>
  <c r="B1033" i="1"/>
  <c r="A1033" i="1"/>
  <c r="B1031" i="1"/>
  <c r="A1031" i="1"/>
  <c r="B1539" i="1"/>
  <c r="A1539" i="1"/>
  <c r="B1194" i="1"/>
  <c r="A1194" i="1"/>
  <c r="B894" i="1"/>
  <c r="A894" i="1"/>
  <c r="B833" i="1"/>
  <c r="A833" i="1"/>
  <c r="B857" i="1"/>
  <c r="A857" i="1"/>
  <c r="B692" i="1"/>
  <c r="A692" i="1"/>
  <c r="B144" i="1"/>
  <c r="A144" i="1"/>
  <c r="B1156" i="1"/>
  <c r="A1156" i="1"/>
  <c r="B721" i="1"/>
  <c r="A721" i="1"/>
  <c r="B841" i="1"/>
  <c r="A841" i="1"/>
  <c r="B1105" i="1"/>
  <c r="A1105" i="1"/>
  <c r="B390" i="1"/>
  <c r="A390" i="1"/>
  <c r="B1459" i="1"/>
  <c r="A1459" i="1"/>
  <c r="B624" i="1"/>
  <c r="A624" i="1"/>
  <c r="B788" i="1"/>
  <c r="A788" i="1"/>
  <c r="B1246" i="1"/>
  <c r="A1246" i="1"/>
  <c r="B722" i="1"/>
  <c r="A722" i="1"/>
  <c r="B163" i="1"/>
  <c r="A163" i="1"/>
  <c r="B611" i="1"/>
  <c r="A611" i="1"/>
  <c r="B1448" i="1"/>
  <c r="A1448" i="1"/>
  <c r="B694" i="1"/>
  <c r="A694" i="1"/>
  <c r="B332" i="1"/>
  <c r="A332" i="1"/>
  <c r="B1104" i="1"/>
  <c r="A1104" i="1"/>
  <c r="B1130" i="1"/>
  <c r="A1130" i="1"/>
  <c r="B1538" i="1"/>
  <c r="A1538" i="1"/>
  <c r="B992" i="1"/>
  <c r="A992" i="1"/>
  <c r="B1737" i="1"/>
  <c r="A1737" i="1"/>
  <c r="B1578" i="1"/>
  <c r="A1578" i="1"/>
  <c r="B1726" i="1"/>
  <c r="A1726" i="1"/>
  <c r="B1233" i="1"/>
  <c r="A1233" i="1"/>
  <c r="B1213" i="1"/>
  <c r="A1213" i="1"/>
  <c r="B214" i="1"/>
  <c r="A214" i="1"/>
  <c r="B1498" i="1"/>
  <c r="A1498" i="1"/>
  <c r="B342" i="1"/>
  <c r="A342" i="1"/>
  <c r="B1763" i="1"/>
  <c r="A1763" i="1"/>
  <c r="B1032" i="1"/>
  <c r="A1032" i="1"/>
  <c r="B1147" i="1"/>
  <c r="A1147" i="1"/>
  <c r="B1030" i="1"/>
  <c r="A1030" i="1"/>
  <c r="B1580" i="1"/>
  <c r="A1580" i="1"/>
  <c r="B1124" i="1"/>
  <c r="A1124" i="1"/>
  <c r="B1519" i="1"/>
  <c r="A1519" i="1"/>
  <c r="B1208" i="1"/>
  <c r="A1208" i="1"/>
  <c r="A958" i="1"/>
  <c r="B958" i="1"/>
  <c r="B1388" i="1"/>
  <c r="A1388" i="1"/>
  <c r="B55" i="1"/>
  <c r="A55" i="1"/>
  <c r="B241" i="1"/>
  <c r="A241" i="1"/>
  <c r="B172" i="1"/>
  <c r="A172" i="1"/>
  <c r="B1563" i="1"/>
  <c r="A1563" i="1"/>
  <c r="B1744" i="1"/>
  <c r="A1744" i="1"/>
  <c r="B637" i="1"/>
  <c r="A637" i="1"/>
  <c r="B1317" i="1"/>
  <c r="A1317" i="1"/>
  <c r="B1765" i="1"/>
  <c r="A1765" i="1"/>
  <c r="B684" i="1"/>
  <c r="A684" i="1"/>
  <c r="B1675" i="1"/>
  <c r="A1675" i="1"/>
  <c r="B1409" i="1"/>
  <c r="A1409" i="1"/>
  <c r="B1327" i="1"/>
  <c r="A1327" i="1"/>
  <c r="B1426" i="1"/>
  <c r="A1426" i="1"/>
  <c r="B1425" i="1"/>
  <c r="A1425" i="1"/>
  <c r="B889" i="1"/>
  <c r="A889" i="1"/>
  <c r="B1753" i="1"/>
  <c r="A1753" i="1"/>
  <c r="B127" i="1"/>
  <c r="A127" i="1"/>
  <c r="B1287" i="1"/>
  <c r="A1287" i="1"/>
  <c r="B539" i="1"/>
  <c r="A539" i="1"/>
  <c r="B1660" i="1"/>
  <c r="A1660" i="1"/>
  <c r="B1153" i="1"/>
  <c r="A1153" i="1"/>
  <c r="B499" i="1"/>
  <c r="A499" i="1"/>
  <c r="B923" i="1"/>
  <c r="A923" i="1"/>
  <c r="B452" i="1"/>
  <c r="A452" i="1"/>
  <c r="B1654" i="1"/>
  <c r="A1654" i="1"/>
  <c r="B1363" i="1"/>
  <c r="A1363" i="1"/>
  <c r="B14" i="1"/>
  <c r="A14" i="1"/>
  <c r="B649" i="1"/>
  <c r="A649" i="1"/>
  <c r="B526" i="1"/>
  <c r="A526" i="1"/>
  <c r="B924" i="1"/>
  <c r="A924" i="1"/>
  <c r="B795" i="1"/>
  <c r="A795" i="1"/>
  <c r="B1678" i="1"/>
  <c r="A1678" i="1"/>
  <c r="B1674" i="1"/>
  <c r="A1674" i="1"/>
  <c r="B1556" i="1"/>
  <c r="A1556" i="1"/>
  <c r="B1075" i="1"/>
  <c r="A1075" i="1"/>
  <c r="B570" i="1"/>
  <c r="A570" i="1"/>
  <c r="B341" i="1"/>
  <c r="A341" i="1"/>
  <c r="B1676" i="1"/>
  <c r="A1676" i="1"/>
  <c r="B206" i="1"/>
  <c r="A206" i="1"/>
  <c r="B706" i="1"/>
  <c r="A706" i="1"/>
  <c r="B1446" i="1"/>
  <c r="A1446" i="1"/>
  <c r="B1146" i="1"/>
  <c r="A1146" i="1"/>
  <c r="B1250" i="1"/>
  <c r="A1250" i="1"/>
  <c r="B183" i="1"/>
  <c r="A183" i="1"/>
  <c r="B97" i="1"/>
  <c r="A97" i="1"/>
  <c r="B465" i="1"/>
  <c r="A465" i="1"/>
  <c r="B49" i="1"/>
  <c r="A49" i="1"/>
  <c r="B558" i="1"/>
  <c r="A558" i="1"/>
  <c r="B478" i="1"/>
  <c r="A478" i="1"/>
  <c r="B1343" i="1"/>
  <c r="A1343" i="1"/>
  <c r="B1709" i="1"/>
  <c r="A1709" i="1"/>
  <c r="B1392" i="1"/>
  <c r="A1392" i="1"/>
  <c r="B1027" i="1"/>
  <c r="A1027" i="1"/>
  <c r="B960" i="1"/>
  <c r="A960" i="1"/>
  <c r="B1237" i="1"/>
  <c r="A1237" i="1"/>
  <c r="B1574" i="1"/>
  <c r="A1574" i="1"/>
  <c r="B778" i="1"/>
  <c r="A778" i="1"/>
  <c r="B1020" i="1"/>
  <c r="A1020" i="1"/>
  <c r="B115" i="1"/>
  <c r="A115" i="1"/>
  <c r="B1025" i="1"/>
  <c r="A1025" i="1"/>
  <c r="B1673" i="1"/>
  <c r="A1673" i="1"/>
  <c r="B1384" i="1"/>
  <c r="A1384" i="1"/>
  <c r="B800" i="1"/>
  <c r="A800" i="1"/>
  <c r="B557" i="1"/>
  <c r="A557" i="1"/>
  <c r="B1103" i="1"/>
  <c r="A1103" i="1"/>
  <c r="B1677" i="1"/>
  <c r="A1677" i="1"/>
  <c r="B1623" i="1"/>
  <c r="A1623" i="1"/>
  <c r="B431" i="1"/>
  <c r="A431" i="1"/>
  <c r="B1024" i="1"/>
  <c r="A1024" i="1"/>
  <c r="B1026" i="1"/>
  <c r="A1026" i="1"/>
  <c r="B525" i="1"/>
  <c r="A525" i="1"/>
  <c r="B1718" i="1"/>
  <c r="A1718" i="1"/>
  <c r="B1736" i="1"/>
  <c r="A1736" i="1"/>
  <c r="B1766" i="1"/>
  <c r="A1766" i="1"/>
  <c r="B1680" i="1"/>
  <c r="A1680" i="1"/>
  <c r="B1023" i="1"/>
  <c r="A1023" i="1"/>
  <c r="B1432" i="1"/>
  <c r="A1432" i="1"/>
  <c r="B39" i="1" l="1"/>
  <c r="A39" i="1"/>
  <c r="B52" i="1"/>
  <c r="A52" i="1"/>
  <c r="B53" i="1"/>
  <c r="A53" i="1"/>
  <c r="B1666" i="1"/>
  <c r="A1666" i="1"/>
  <c r="B1665" i="1"/>
  <c r="A1665" i="1"/>
  <c r="B40" i="1"/>
  <c r="A40" i="1"/>
  <c r="B887" i="1"/>
  <c r="A887" i="1"/>
  <c r="B1664" i="1"/>
  <c r="A1664" i="1"/>
  <c r="B44" i="1"/>
  <c r="A44" i="1"/>
  <c r="B41" i="1"/>
  <c r="A41" i="1"/>
  <c r="B1515" i="1"/>
  <c r="A1515" i="1"/>
  <c r="B48" i="1"/>
  <c r="A48" i="1"/>
  <c r="B1653" i="1"/>
  <c r="A1653" i="1"/>
  <c r="B47" i="1"/>
  <c r="A47" i="1"/>
  <c r="B51" i="1"/>
  <c r="A51" i="1"/>
  <c r="B42" i="1"/>
  <c r="A42" i="1"/>
  <c r="B453" i="1"/>
  <c r="A453" i="1"/>
  <c r="B45" i="1"/>
  <c r="A45" i="1"/>
  <c r="B50" i="1"/>
  <c r="A50" i="1"/>
  <c r="B1166" i="1"/>
  <c r="A1166" i="1"/>
  <c r="B1517" i="1"/>
  <c r="A1517" i="1"/>
  <c r="B581" i="1"/>
  <c r="A581" i="1"/>
  <c r="B1362" i="1"/>
  <c r="A1362" i="1"/>
  <c r="B54" i="1"/>
  <c r="A54" i="1"/>
  <c r="B43" i="1"/>
  <c r="A43" i="1"/>
  <c r="B1516" i="1"/>
  <c r="A1516" i="1"/>
  <c r="B123" i="1" l="1"/>
  <c r="A123" i="1"/>
  <c r="B807" i="1"/>
  <c r="A807" i="1"/>
  <c r="B1296" i="1"/>
  <c r="A1296" i="1"/>
  <c r="B1068" i="1"/>
  <c r="A1068" i="1"/>
</calcChain>
</file>

<file path=xl/sharedStrings.xml><?xml version="1.0" encoding="utf-8"?>
<sst xmlns="http://schemas.openxmlformats.org/spreadsheetml/2006/main" count="4042" uniqueCount="863">
  <si>
    <t>Contains public sector information licensed under the Open Government Licence v3.0.</t>
  </si>
  <si>
    <t>Insolvent Company</t>
  </si>
  <si>
    <t>Co. No.</t>
  </si>
  <si>
    <t>IP Firm</t>
  </si>
  <si>
    <t>Office</t>
  </si>
  <si>
    <t>Date of appointment</t>
  </si>
  <si>
    <t>Begbies Traynor</t>
  </si>
  <si>
    <t>London</t>
  </si>
  <si>
    <t>Marshall Peters</t>
  </si>
  <si>
    <t>Preston</t>
  </si>
  <si>
    <t>Greenfield</t>
  </si>
  <si>
    <t>Birmingham</t>
  </si>
  <si>
    <t>MB Insol</t>
  </si>
  <si>
    <t>Droitwich</t>
  </si>
  <si>
    <t>Rushtons</t>
  </si>
  <si>
    <t>Saltaire</t>
  </si>
  <si>
    <t>Beacon</t>
  </si>
  <si>
    <t>Fareham</t>
  </si>
  <si>
    <t>Redman Nichols</t>
  </si>
  <si>
    <t>Driffield</t>
  </si>
  <si>
    <t>Quantuma</t>
  </si>
  <si>
    <t>Ringwood</t>
  </si>
  <si>
    <t>Moorfields</t>
  </si>
  <si>
    <t>FRP</t>
  </si>
  <si>
    <t>Leigh Adams</t>
  </si>
  <si>
    <t>Potters Bar</t>
  </si>
  <si>
    <t>Manchester</t>
  </si>
  <si>
    <t>Clarke Bell</t>
  </si>
  <si>
    <t>Stockton</t>
  </si>
  <si>
    <t>Bespoke</t>
  </si>
  <si>
    <t>Rochdale</t>
  </si>
  <si>
    <t>Leigh-on-Sea</t>
  </si>
  <si>
    <t>AABRS</t>
  </si>
  <si>
    <t>Live</t>
  </si>
  <si>
    <t>Leeds</t>
  </si>
  <si>
    <t>SFP</t>
  </si>
  <si>
    <t>Milsted Langdon</t>
  </si>
  <si>
    <t>Bristol</t>
  </si>
  <si>
    <t>Bridgewood</t>
  </si>
  <si>
    <t>Nottingham</t>
  </si>
  <si>
    <t>DCA</t>
  </si>
  <si>
    <t>Southend</t>
  </si>
  <si>
    <t>Libertas</t>
  </si>
  <si>
    <t>Bushey</t>
  </si>
  <si>
    <t>Sale Smith</t>
  </si>
  <si>
    <t>Walsall</t>
  </si>
  <si>
    <t>Revolution</t>
  </si>
  <si>
    <t>Southport</t>
  </si>
  <si>
    <t>McTear Williams</t>
  </si>
  <si>
    <t>Norwich</t>
  </si>
  <si>
    <t>Fortis</t>
  </si>
  <si>
    <t>Capital Books</t>
  </si>
  <si>
    <t>Maidstone</t>
  </si>
  <si>
    <t>DSi</t>
  </si>
  <si>
    <t>Wakefield</t>
  </si>
  <si>
    <t>Finn Assoc</t>
  </si>
  <si>
    <t>Tong</t>
  </si>
  <si>
    <t>Wilson Field</t>
  </si>
  <si>
    <t>Sheffield</t>
  </si>
  <si>
    <t>Hawkins</t>
  </si>
  <si>
    <t>Wrington</t>
  </si>
  <si>
    <t>Barnet</t>
  </si>
  <si>
    <t>FA Simms &amp; Ptnrs</t>
  </si>
  <si>
    <t>Lutterworth</t>
  </si>
  <si>
    <t>Leonard Curtis</t>
  </si>
  <si>
    <t>Liverpool</t>
  </si>
  <si>
    <t>Popp &amp; App</t>
  </si>
  <si>
    <t>Hudson Weir</t>
  </si>
  <si>
    <t>Edge</t>
  </si>
  <si>
    <t>Bromley</t>
  </si>
  <si>
    <t>CBA</t>
  </si>
  <si>
    <t>Leicester</t>
  </si>
  <si>
    <t>McAlister &amp; Co</t>
  </si>
  <si>
    <t>Swansea</t>
  </si>
  <si>
    <t>Clark BR</t>
  </si>
  <si>
    <t>Exeter</t>
  </si>
  <si>
    <t>Insol One</t>
  </si>
  <si>
    <t>Opus</t>
  </si>
  <si>
    <t>Southampton</t>
  </si>
  <si>
    <t>York</t>
  </si>
  <si>
    <t>Gaines Robson</t>
  </si>
  <si>
    <t>CMB</t>
  </si>
  <si>
    <t>Parker Andrews</t>
  </si>
  <si>
    <t>Harveys</t>
  </si>
  <si>
    <t>Newbury</t>
  </si>
  <si>
    <t>Chesterfield</t>
  </si>
  <si>
    <t>Leading</t>
  </si>
  <si>
    <t>ABIP</t>
  </si>
  <si>
    <t>Bolton</t>
  </si>
  <si>
    <t>Upminster</t>
  </si>
  <si>
    <t>Undebt</t>
  </si>
  <si>
    <t>BLB</t>
  </si>
  <si>
    <t>Coventry</t>
  </si>
  <si>
    <t>Gateshead</t>
  </si>
  <si>
    <t>Houghton le Spring</t>
  </si>
  <si>
    <t>Mercian</t>
  </si>
  <si>
    <t>JT Maxwell Ltd</t>
  </si>
  <si>
    <t>Lisburn</t>
  </si>
  <si>
    <t>Orpington</t>
  </si>
  <si>
    <t>CG&amp;Co</t>
  </si>
  <si>
    <t>Mazars</t>
  </si>
  <si>
    <t>Insol Co</t>
  </si>
  <si>
    <t>Taunton</t>
  </si>
  <si>
    <t>Milton Keynes</t>
  </si>
  <si>
    <t>RG Insol</t>
  </si>
  <si>
    <t>Borehamwood</t>
  </si>
  <si>
    <t>Graywoods</t>
  </si>
  <si>
    <t>Bailey Ahmad</t>
  </si>
  <si>
    <t>Croydon</t>
  </si>
  <si>
    <t>Simply</t>
  </si>
  <si>
    <t>Padiham</t>
  </si>
  <si>
    <t>Parker Walsh</t>
  </si>
  <si>
    <t>Bramhall</t>
  </si>
  <si>
    <t>BRI</t>
  </si>
  <si>
    <t>Northampton</t>
  </si>
  <si>
    <t>FTS</t>
  </si>
  <si>
    <t>Robert Day &amp; Co</t>
  </si>
  <si>
    <t>Buckingham</t>
  </si>
  <si>
    <t>Bretts</t>
  </si>
  <si>
    <t>Dartford</t>
  </si>
  <si>
    <t>Brighton</t>
  </si>
  <si>
    <t>Wilkin Chapman</t>
  </si>
  <si>
    <t>Grimsby</t>
  </si>
  <si>
    <t>Cullen &amp; Co</t>
  </si>
  <si>
    <t>Epsom</t>
  </si>
  <si>
    <t>CFS</t>
  </si>
  <si>
    <t>Griffin &amp; King</t>
  </si>
  <si>
    <t>Cooper Young</t>
  </si>
  <si>
    <t>Woodford Green</t>
  </si>
  <si>
    <t>Brentwood</t>
  </si>
  <si>
    <t>Lameys</t>
  </si>
  <si>
    <t>Newton Abbot</t>
  </si>
  <si>
    <t>Inquesta</t>
  </si>
  <si>
    <t>Valentine &amp; Co</t>
  </si>
  <si>
    <t>Ballard BRL</t>
  </si>
  <si>
    <t>Lichfield</t>
  </si>
  <si>
    <t>Panos Eliades Callender</t>
  </si>
  <si>
    <t>Yerrill Murphy</t>
  </si>
  <si>
    <t>Ashford</t>
  </si>
  <si>
    <t>Campbell Crossley</t>
  </si>
  <si>
    <t>Blackpool</t>
  </si>
  <si>
    <t>Keywood</t>
  </si>
  <si>
    <t>Milner Boardman</t>
  </si>
  <si>
    <t>Hale</t>
  </si>
  <si>
    <t>NTF</t>
  </si>
  <si>
    <t>Wilmslow</t>
  </si>
  <si>
    <t>O'Haras Ltd</t>
  </si>
  <si>
    <t>Cleckheaton</t>
  </si>
  <si>
    <t>Smith &amp; Barnes</t>
  </si>
  <si>
    <t>Turpin Barker</t>
  </si>
  <si>
    <t>Sutton</t>
  </si>
  <si>
    <t>Booth &amp; Co</t>
  </si>
  <si>
    <t>Ossett</t>
  </si>
  <si>
    <t>Marks Bloom</t>
  </si>
  <si>
    <t>Kingston</t>
  </si>
  <si>
    <t>Butcher Woods</t>
  </si>
  <si>
    <t>Kallis &amp; Co</t>
  </si>
  <si>
    <t>Garner Adv</t>
  </si>
  <si>
    <t>Tugby</t>
  </si>
  <si>
    <t>Netchwood</t>
  </si>
  <si>
    <t>KBL</t>
  </si>
  <si>
    <t>Sale</t>
  </si>
  <si>
    <t>Antony Batty &amp; Co</t>
  </si>
  <si>
    <t>Oxford</t>
  </si>
  <si>
    <t>Cambridge</t>
  </si>
  <si>
    <t>Herron Fisher</t>
  </si>
  <si>
    <t>Lines Henry</t>
  </si>
  <si>
    <t>Altrincham</t>
  </si>
  <si>
    <t>Durkan Cahill</t>
  </si>
  <si>
    <t>Cheltenham</t>
  </si>
  <si>
    <t>Focus</t>
  </si>
  <si>
    <t>Wigan</t>
  </si>
  <si>
    <t>Newcastle U Lyme</t>
  </si>
  <si>
    <t>Richard J Smith &amp; Co</t>
  </si>
  <si>
    <t>Ivybridge</t>
  </si>
  <si>
    <t>Kirks</t>
  </si>
  <si>
    <t>Maxim</t>
  </si>
  <si>
    <t>Smith Cooper</t>
  </si>
  <si>
    <t xml:space="preserve">Royce Peeling </t>
  </si>
  <si>
    <t>Birchwood</t>
  </si>
  <si>
    <t>Oldham</t>
  </si>
  <si>
    <t>CBBR</t>
  </si>
  <si>
    <t>Verulam</t>
  </si>
  <si>
    <t>St Albans</t>
  </si>
  <si>
    <t>Ideal</t>
  </si>
  <si>
    <t>Seneca</t>
  </si>
  <si>
    <t>Tansley</t>
  </si>
  <si>
    <t>Cromwell &amp; Co</t>
  </si>
  <si>
    <t>Path BR</t>
  </si>
  <si>
    <t>Springfields</t>
  </si>
  <si>
    <t>Purnells</t>
  </si>
  <si>
    <t>Newport</t>
  </si>
  <si>
    <t>DMC</t>
  </si>
  <si>
    <t>Stockport</t>
  </si>
  <si>
    <t>Philmore &amp; Co</t>
  </si>
  <si>
    <t>Holmfirth</t>
  </si>
  <si>
    <t>XLBS</t>
  </si>
  <si>
    <t>Glasgow</t>
  </si>
  <si>
    <t>Cowgill Holloway</t>
  </si>
  <si>
    <t>Azets</t>
  </si>
  <si>
    <t>West Adv</t>
  </si>
  <si>
    <t>Telford</t>
  </si>
  <si>
    <t>KS Tan</t>
  </si>
  <si>
    <t>Bridgestones</t>
  </si>
  <si>
    <t>Stones &amp; Co</t>
  </si>
  <si>
    <t>Watford</t>
  </si>
  <si>
    <t>Bailams</t>
  </si>
  <si>
    <t>Abercynon</t>
  </si>
  <si>
    <t>Salisbury</t>
  </si>
  <si>
    <t>Burnley</t>
  </si>
  <si>
    <t>We CVL</t>
  </si>
  <si>
    <t>PBC</t>
  </si>
  <si>
    <t>Robson Scott</t>
  </si>
  <si>
    <t>Darlington</t>
  </si>
  <si>
    <t>Voscap</t>
  </si>
  <si>
    <t>RBW</t>
  </si>
  <si>
    <t>Hertford</t>
  </si>
  <si>
    <t>Oury Clark</t>
  </si>
  <si>
    <t>Slough</t>
  </si>
  <si>
    <t>RSM</t>
  </si>
  <si>
    <t>Xeinadin</t>
  </si>
  <si>
    <t>HSBR</t>
  </si>
  <si>
    <t>Sanderlings</t>
  </si>
  <si>
    <t>SWWBR</t>
  </si>
  <si>
    <t>Derby</t>
  </si>
  <si>
    <t>ThorntonRones</t>
  </si>
  <si>
    <t>Loughton</t>
  </si>
  <si>
    <t>Newcastle</t>
  </si>
  <si>
    <t>Absolute</t>
  </si>
  <si>
    <t>Doncaster</t>
  </si>
  <si>
    <t>West Byfleet</t>
  </si>
  <si>
    <t>Stuart Rathmell Insol</t>
  </si>
  <si>
    <t>Penryn</t>
  </si>
  <si>
    <t>Timothy James Pship</t>
  </si>
  <si>
    <t>Bromsgrove</t>
  </si>
  <si>
    <t>Co Liqs</t>
  </si>
  <si>
    <t>Adcroft Hilton</t>
  </si>
  <si>
    <t>MR Insol</t>
  </si>
  <si>
    <t>Morley</t>
  </si>
  <si>
    <t>TruSolv</t>
  </si>
  <si>
    <t>KJ Watkin &amp; Co</t>
  </si>
  <si>
    <t>Colchester</t>
  </si>
  <si>
    <t>Currie Young</t>
  </si>
  <si>
    <t>Cardiff</t>
  </si>
  <si>
    <t>RCM</t>
  </si>
  <si>
    <t>Evelyn</t>
  </si>
  <si>
    <t>Kreston Reeves</t>
  </si>
  <si>
    <t>Chatham</t>
  </si>
  <si>
    <t>Beesley CR</t>
  </si>
  <si>
    <t>Handforth</t>
  </si>
  <si>
    <t>MHA</t>
  </si>
  <si>
    <t>Dow Schofield</t>
  </si>
  <si>
    <t>Warrington</t>
  </si>
  <si>
    <t>Rimes &amp; Co</t>
  </si>
  <si>
    <t>Oliver Elliot Ltd</t>
  </si>
  <si>
    <t>Blades</t>
  </si>
  <si>
    <t>Carter Clark</t>
  </si>
  <si>
    <t>Ilford</t>
  </si>
  <si>
    <t>Albert Goodman LLP</t>
  </si>
  <si>
    <t>Rickmansworth</t>
  </si>
  <si>
    <t>SPK</t>
  </si>
  <si>
    <t>KRE</t>
  </si>
  <si>
    <t>Reading</t>
  </si>
  <si>
    <t>Maidenhead</t>
  </si>
  <si>
    <t>Castle Hill</t>
  </si>
  <si>
    <t>Horsfields</t>
  </si>
  <si>
    <t>Bury</t>
  </si>
  <si>
    <t>Royce Peeling</t>
  </si>
  <si>
    <t>LABR</t>
  </si>
  <si>
    <t>Uxbridge</t>
  </si>
  <si>
    <t>Revive</t>
  </si>
  <si>
    <t>Westgates</t>
  </si>
  <si>
    <t>Hull</t>
  </si>
  <si>
    <t>Moore RL</t>
  </si>
  <si>
    <t>Stoke</t>
  </si>
  <si>
    <t>jtQuantuma</t>
  </si>
  <si>
    <t>Hazlewoods</t>
  </si>
  <si>
    <t>Neum</t>
  </si>
  <si>
    <t>Harrow</t>
  </si>
  <si>
    <t>Kroll</t>
  </si>
  <si>
    <t>KSA</t>
  </si>
  <si>
    <t>Lewis BRI</t>
  </si>
  <si>
    <t>Insolve Plus</t>
  </si>
  <si>
    <t>Lucas Ross</t>
  </si>
  <si>
    <t>Expedium</t>
  </si>
  <si>
    <t>Monahans</t>
  </si>
  <si>
    <t>Swindon</t>
  </si>
  <si>
    <t>Hereford</t>
  </si>
  <si>
    <t>Dsi</t>
  </si>
  <si>
    <t>B&amp;C</t>
  </si>
  <si>
    <t>Irwin Insol</t>
  </si>
  <si>
    <t>Sutton Coldfield</t>
  </si>
  <si>
    <t>Sterling Ford</t>
  </si>
  <si>
    <t>Northpoint</t>
  </si>
  <si>
    <t>Interpath</t>
  </si>
  <si>
    <t>Canterbury</t>
  </si>
  <si>
    <t>Smart</t>
  </si>
  <si>
    <t>Worcester</t>
  </si>
  <si>
    <t>Moore Kingston</t>
  </si>
  <si>
    <t>Leyland</t>
  </si>
  <si>
    <t>Approved</t>
  </si>
  <si>
    <t>Havant</t>
  </si>
  <si>
    <t>GIA</t>
  </si>
  <si>
    <t>Bedworth</t>
  </si>
  <si>
    <t>Griffins</t>
  </si>
  <si>
    <t>Even Keel</t>
  </si>
  <si>
    <t>Bournemouth</t>
  </si>
  <si>
    <t>Restart</t>
  </si>
  <si>
    <t>Mercer &amp; Hole</t>
  </si>
  <si>
    <t>ST Bennett &amp; Co</t>
  </si>
  <si>
    <t>Buckhurst Hill</t>
  </si>
  <si>
    <t>Augusta Kent</t>
  </si>
  <si>
    <t>ADBR</t>
  </si>
  <si>
    <t>Chelmsford</t>
  </si>
  <si>
    <t>Abbey Taylor</t>
  </si>
  <si>
    <t>Ashcrofts</t>
  </si>
  <si>
    <t>BVCRIS</t>
  </si>
  <si>
    <t>Maidment Judd</t>
  </si>
  <si>
    <t>TH Fin Rec</t>
  </si>
  <si>
    <t>Doyle Davies</t>
  </si>
  <si>
    <t>Hart Shaw</t>
  </si>
  <si>
    <t>Bath</t>
  </si>
  <si>
    <t>ANG</t>
  </si>
  <si>
    <t>Larking Gowen</t>
  </si>
  <si>
    <t>Bhardwaj Ltd</t>
  </si>
  <si>
    <t>Northwood</t>
  </si>
  <si>
    <t>Sinclair Harris</t>
  </si>
  <si>
    <t>Teneo</t>
  </si>
  <si>
    <t>Middlebrooks</t>
  </si>
  <si>
    <t>Edinburgh</t>
  </si>
  <si>
    <t>Maxim IP</t>
  </si>
  <si>
    <t>Frost Group</t>
  </si>
  <si>
    <t>Bishop Fleming</t>
  </si>
  <si>
    <t>Ideal CS</t>
  </si>
  <si>
    <t>Armstrong Watson</t>
  </si>
  <si>
    <t>Path</t>
  </si>
  <si>
    <t>Crowe</t>
  </si>
  <si>
    <t>Tunbridge Wells</t>
  </si>
  <si>
    <t>Leigh Consultancy</t>
  </si>
  <si>
    <t>Ellis Breese</t>
  </si>
  <si>
    <t>DKF</t>
  </si>
  <si>
    <t>Jones Lowndes</t>
  </si>
  <si>
    <t>SP Ford &amp; Co</t>
  </si>
  <si>
    <t>Assist</t>
  </si>
  <si>
    <t>Bulley Davey</t>
  </si>
  <si>
    <t>Spalding</t>
  </si>
  <si>
    <t>ReSolve</t>
  </si>
  <si>
    <t>Mercury</t>
  </si>
  <si>
    <t>DM Patel &amp; Co</t>
  </si>
  <si>
    <t>Elland</t>
  </si>
  <si>
    <t>Nexus</t>
  </si>
  <si>
    <t>Worthing</t>
  </si>
  <si>
    <t>Macintyre Hudson</t>
  </si>
  <si>
    <t>Kingsbridge</t>
  </si>
  <si>
    <t>Peterborough</t>
  </si>
  <si>
    <t>RMT</t>
  </si>
  <si>
    <t>Aberdeen</t>
  </si>
  <si>
    <t>Eastleigh</t>
  </si>
  <si>
    <t>Barnsley</t>
  </si>
  <si>
    <t>Gibson Booth</t>
  </si>
  <si>
    <t>Strong Anderson</t>
  </si>
  <si>
    <t>Leighton Buzzard</t>
  </si>
  <si>
    <t>G2 Adv</t>
  </si>
  <si>
    <t>Harrisons</t>
  </si>
  <si>
    <t>Parkin S Booth</t>
  </si>
  <si>
    <t>jtMazars</t>
  </si>
  <si>
    <t xml:space="preserve">Kingston </t>
  </si>
  <si>
    <t>Bromsgove</t>
  </si>
  <si>
    <t>jtMercian</t>
  </si>
  <si>
    <t>Fergusson &amp; Co</t>
  </si>
  <si>
    <t>RG insol</t>
  </si>
  <si>
    <t>Clough CS</t>
  </si>
  <si>
    <t>BRETT CANAVAN TRANSPORT LTD</t>
  </si>
  <si>
    <t>MODE LIVING LIMITED</t>
  </si>
  <si>
    <t>SCOTTISH GENERAL HOLDINGS LIMITED</t>
  </si>
  <si>
    <t>NEWTON RIGGING LIMITED</t>
  </si>
  <si>
    <t>LANGREAVE LIMITED</t>
  </si>
  <si>
    <t>ALM STUDIOS LIMITED</t>
  </si>
  <si>
    <t>FRANK HOWARD TOOLS &amp; FIXINGS LIMITED</t>
  </si>
  <si>
    <t>1ST CLASS BRICKWORK LIMITED</t>
  </si>
  <si>
    <t>NA PETROLEUM LIMITED</t>
  </si>
  <si>
    <t>LABOUR ROCK LTD</t>
  </si>
  <si>
    <t>THE RETREAT BREAKFAST &amp; COFFEE HOUSE LIMITED</t>
  </si>
  <si>
    <t>CENTRAL BARBERS (MK) LIMITED</t>
  </si>
  <si>
    <t>QCIG LTD</t>
  </si>
  <si>
    <t>BRENNAN PROPERTY MAINTENANCE LIMITED</t>
  </si>
  <si>
    <t>BUILD PRECISION LTD</t>
  </si>
  <si>
    <t>SNF RETAIL LTD</t>
  </si>
  <si>
    <t>MILTON BAYER LIMITED</t>
  </si>
  <si>
    <t>ANDYS CARPETS LTD</t>
  </si>
  <si>
    <t>CLARITAS MAIDSTONE LTD</t>
  </si>
  <si>
    <t>SASHLUCA LTD</t>
  </si>
  <si>
    <t>WDW ARCHITECTS LIMITED</t>
  </si>
  <si>
    <t>THERAPIE UK LIMITED</t>
  </si>
  <si>
    <t>ROSSENDALE REAL ALE &amp; PUB CO LIMITED</t>
  </si>
  <si>
    <t>ASHLEY JONES HAIR LTD</t>
  </si>
  <si>
    <t>SBT CLEANING SERVICES LIMITED</t>
  </si>
  <si>
    <t>EQ II LTD</t>
  </si>
  <si>
    <t>SMC ARCHITECTURAL INSTALLATIONS LTD</t>
  </si>
  <si>
    <t>MAYFAIR MARKETING RETAIL LIMITED</t>
  </si>
  <si>
    <t>MM TECHNICAL CONSULTING LTD</t>
  </si>
  <si>
    <t>FSAATA LTD</t>
  </si>
  <si>
    <t>KULTURED LIMITED</t>
  </si>
  <si>
    <t>UVA-UK LTD</t>
  </si>
  <si>
    <t>HOMES &amp; LAND RESIDENTIAL LTD</t>
  </si>
  <si>
    <t>VIFKAN UK LTD</t>
  </si>
  <si>
    <t>RIALTO FILMS LIMITED</t>
  </si>
  <si>
    <t>GS IT CONSULTANTS LIMITED</t>
  </si>
  <si>
    <t>SFM FILM LIMITED</t>
  </si>
  <si>
    <t>SHOP DISPLAY SOLUTIONS LIMITED</t>
  </si>
  <si>
    <t>KENT DINING GROUP LIMITED</t>
  </si>
  <si>
    <t>LARATEX LIMITED</t>
  </si>
  <si>
    <t>DEXAL SYSTEMS LTD</t>
  </si>
  <si>
    <t>RODEO EVENT PRODUCTION SERVICES LTD</t>
  </si>
  <si>
    <t>THE EDWARDS PARTNERSHIP LIMITED</t>
  </si>
  <si>
    <t>ANIKA INDIAN TAKEAWAY LIMITED</t>
  </si>
  <si>
    <t>CONSTRUCTSAFETY INTERNATIONAL LTD</t>
  </si>
  <si>
    <t>NUMBER 1 FIRE PROTECTION LTD</t>
  </si>
  <si>
    <t>MIR PROPERTIES LTD</t>
  </si>
  <si>
    <t>CORNERSTONE SECURITY LTD</t>
  </si>
  <si>
    <t>FEATONBY'S LIMITED</t>
  </si>
  <si>
    <t>MARTIN &amp; CO CONSTRUCTION LIMITED</t>
  </si>
  <si>
    <t>SUPER SAVER CORPORATION LTD</t>
  </si>
  <si>
    <t>C A BARAT MECHANICAL SERVICES LTD</t>
  </si>
  <si>
    <t>COMPOSITE FENCING SUPPLIES LTD</t>
  </si>
  <si>
    <t>ARSHAD PROPERTIES BIRMINGHAM LTD</t>
  </si>
  <si>
    <t>TECH FOODS LEEDS LTD</t>
  </si>
  <si>
    <t>METAL INTERESTS LIMITED</t>
  </si>
  <si>
    <t>STONE BUTTERFLY LIMITED</t>
  </si>
  <si>
    <t>EVERYTHING FOOD LTD</t>
  </si>
  <si>
    <t>DAPPAD LTD</t>
  </si>
  <si>
    <t>LOVETT &amp; CO LTD</t>
  </si>
  <si>
    <t>BWL LEGAL LTD</t>
  </si>
  <si>
    <t>ULTIMATE NETWORK SOLUTIONS LIMITED</t>
  </si>
  <si>
    <t>OAKS DEVELOPMENTS BUILDING CONTRACTORS LIMITED</t>
  </si>
  <si>
    <t>OI INTERIORS OXFORD LTD</t>
  </si>
  <si>
    <t>ASH HEATING SYSTEMS LIMITED</t>
  </si>
  <si>
    <t>EVOLUTION AUTOMATIC DOORS LTD</t>
  </si>
  <si>
    <t>PPX METAL MANAGEMENT LTD</t>
  </si>
  <si>
    <t>WROXHAM BRIDGE RESTAURANT LTD</t>
  </si>
  <si>
    <t>A HILLS SOLUTIONS LIMITED</t>
  </si>
  <si>
    <t>LASERSURE LIMITED</t>
  </si>
  <si>
    <t>BRIDGES COMMUNITY HEALTHCARE LIMITED</t>
  </si>
  <si>
    <t>UK ALUM FOOD LTD</t>
  </si>
  <si>
    <t>MLP ROBINSON SERVICES LTD</t>
  </si>
  <si>
    <t>SECRET COAST LIMITED</t>
  </si>
  <si>
    <t>JOLI ASSOCIATES LTD</t>
  </si>
  <si>
    <t>TRS &amp; CO (EUROPE) LIMITED</t>
  </si>
  <si>
    <t>SHELLARDS LIMITED</t>
  </si>
  <si>
    <t>LUCARNA DESIGN LIMITED</t>
  </si>
  <si>
    <t>DELAL GRILL LIMITED</t>
  </si>
  <si>
    <t>PALATINE PRECISION (2021) LIMITED</t>
  </si>
  <si>
    <t>WALTHAM &amp; CO LTD</t>
  </si>
  <si>
    <t>BIGFOOT FESTIVAL LIMITED</t>
  </si>
  <si>
    <t>CARLILE PROPERTIES LIMITED</t>
  </si>
  <si>
    <t>EAST THURROCK UNITED FOOTBALL CLUB (2009) LIMITED</t>
  </si>
  <si>
    <t>STELLA PROPERTY INVESTMENTS LIMITED</t>
  </si>
  <si>
    <t>INDEPENDENT SPANISH RESTAURANT COMPANY (EAST) LIMITED</t>
  </si>
  <si>
    <t>TIDWORTH RESTAURANT LTD</t>
  </si>
  <si>
    <t>NAZAR (NEW BRIGHTON) LIMITED</t>
  </si>
  <si>
    <t>ON TAP NETWORKS LIMITED</t>
  </si>
  <si>
    <t>KEYSTONE MORTGAGES &amp; PROTECTION LIMITED</t>
  </si>
  <si>
    <t>AHMED FINANCIAL CONSULTING LIMITED</t>
  </si>
  <si>
    <t>RIVERSIDE TENPIN BOWLING LIMITED</t>
  </si>
  <si>
    <t>FOOD N DRINK LTD</t>
  </si>
  <si>
    <t>CRYSTAL MARINE (UK) LTD</t>
  </si>
  <si>
    <t>IRWELL WORKS BREWING LIMITED</t>
  </si>
  <si>
    <t>RT JOINTING LIMITED</t>
  </si>
  <si>
    <t>ESS &amp; ESS HARD LANDSCAPING LTD</t>
  </si>
  <si>
    <t>SILK BY DESIGN UK LTD</t>
  </si>
  <si>
    <t>GRAVESEND CONSTRUCTION AND LANDSCAPING LTD</t>
  </si>
  <si>
    <t>MORGANS ESTATE AGENTS LIMITED</t>
  </si>
  <si>
    <t>VKYB ENTERPRISES LTD</t>
  </si>
  <si>
    <t>LINDSAY OWENS AESTHETICS LTD</t>
  </si>
  <si>
    <t>THE SOCIAL LTD</t>
  </si>
  <si>
    <t>MISTER TEA LIMITED</t>
  </si>
  <si>
    <t>MODE FOR YOU LTD</t>
  </si>
  <si>
    <t>GROVETECH LIMITED</t>
  </si>
  <si>
    <t>JASON HIGGINS TREE SERVICES LIMITED</t>
  </si>
  <si>
    <t>CENTRAL APARTMENTS LTD</t>
  </si>
  <si>
    <t>J R CONSTRUCTION LONDON LIMITED</t>
  </si>
  <si>
    <t>PARK HALL TIMBER PRODUCTS LIMITED</t>
  </si>
  <si>
    <t>WILLARDS (UK) LTD</t>
  </si>
  <si>
    <t>MEZE KITCHEN LIMITED</t>
  </si>
  <si>
    <t>PORTEVO LIMITED</t>
  </si>
  <si>
    <t>ISABELLA'S COFFEE SHOP LTD</t>
  </si>
  <si>
    <t>HENDRICKS &amp; FOSTER LTD</t>
  </si>
  <si>
    <t>GGIUK LTD</t>
  </si>
  <si>
    <t>ARUNDELS WINDOWS &amp; DOORS LTD</t>
  </si>
  <si>
    <t>CHINA GARDEN CATERING LTD</t>
  </si>
  <si>
    <t>C S GODNEY LIMITED</t>
  </si>
  <si>
    <t>LM CONTROLS LIMITED</t>
  </si>
  <si>
    <t>CREOGLASS DESIGN LTD</t>
  </si>
  <si>
    <t>VQ 1 LTD</t>
  </si>
  <si>
    <t>RONDAR RACEBOATS LIMITED</t>
  </si>
  <si>
    <t>DECODE LONDON LIMITED</t>
  </si>
  <si>
    <t>DHAN SHIRI BD LTD</t>
  </si>
  <si>
    <t>BODYWORKS BEAUTY LIMITED</t>
  </si>
  <si>
    <t>REBEL &amp; RAIN LIMITED</t>
  </si>
  <si>
    <t>THE LIMIT TED COMPANY LIMITED</t>
  </si>
  <si>
    <t>DANFINO ENTERPRISES LIMITED</t>
  </si>
  <si>
    <t>T.W. INSTALLATIONS (SOUTH) LIMITED</t>
  </si>
  <si>
    <t>DYNAC INDUSTRIAL ROOFING LTD</t>
  </si>
  <si>
    <t>MH SERVICES (KETTERING) LIMITED</t>
  </si>
  <si>
    <t>POWERMED ENGINEERING LIMITED</t>
  </si>
  <si>
    <t>BUSINESS POND LTD</t>
  </si>
  <si>
    <t>VOY PRESTIGE MOTORS LIMITED</t>
  </si>
  <si>
    <t>SKIPTON BREAD HOUSE LIMITED</t>
  </si>
  <si>
    <t>PAMAN ENGINEERING LTD</t>
  </si>
  <si>
    <t>BLUE TEC MANUFACTURING SOLUTIONS LTD</t>
  </si>
  <si>
    <t>KHAN LAW CONSULTING LIMITED</t>
  </si>
  <si>
    <t>FIRS FENCING LIMITED</t>
  </si>
  <si>
    <t>THE HAMLET CLINIC LIMITED</t>
  </si>
  <si>
    <t>COACH LONDON LIMITED</t>
  </si>
  <si>
    <t>K O KANE LTD</t>
  </si>
  <si>
    <t>NEXT LEVEL PROMOTIONS LIMITED</t>
  </si>
  <si>
    <t>LEVERET CONTRACTING LIMITED</t>
  </si>
  <si>
    <t>OSMAN ELECTRICAL LTD</t>
  </si>
  <si>
    <t>READY SET GROW NURSERY LIMITED</t>
  </si>
  <si>
    <t>ELITE MAINTENANCE SOLUTIONS LIMITED</t>
  </si>
  <si>
    <t>COLEFACE LTD</t>
  </si>
  <si>
    <t>KGF FABRICATIONS LIMITED</t>
  </si>
  <si>
    <t>Redmans</t>
  </si>
  <si>
    <t>CARBOUR LTD</t>
  </si>
  <si>
    <t>RAMS FM LTD</t>
  </si>
  <si>
    <t>BAKERY QUALITY FIRST LTD</t>
  </si>
  <si>
    <t>HUZAR SERVICE LTD</t>
  </si>
  <si>
    <t>SOVEREIGN EXHIBITIONS &amp; EVENTS LIMITED</t>
  </si>
  <si>
    <t>VISION ALUMINIUM SYSTEMS LTD</t>
  </si>
  <si>
    <t>SYNDEO CAPITAL LIMITED</t>
  </si>
  <si>
    <t>THE HOUSE OF SHUTTERS LIMITED</t>
  </si>
  <si>
    <t>PRIDE GB SECURITY SERVICES LIMITED</t>
  </si>
  <si>
    <t>BRANDED CREATIVITY LTD</t>
  </si>
  <si>
    <t>BROWNS HARDWARE LIMITED</t>
  </si>
  <si>
    <t>SQ WEALTH LIMITED</t>
  </si>
  <si>
    <t>BUN BUN LTD</t>
  </si>
  <si>
    <t>SHIMMER TELECOM LIMITED</t>
  </si>
  <si>
    <t>DISSECTOVIEW LIMITED</t>
  </si>
  <si>
    <t>AMOJA LIMITED</t>
  </si>
  <si>
    <t>FL SERVICES LIMITED</t>
  </si>
  <si>
    <t>Ballard BR</t>
  </si>
  <si>
    <t>FASHION BAR LIMITED</t>
  </si>
  <si>
    <t>CALDERDALE BUILDERS LIMITED</t>
  </si>
  <si>
    <t>RADANS LIMITED</t>
  </si>
  <si>
    <t>INTRINSIC TRAINING SOLUTIONS LIMITED</t>
  </si>
  <si>
    <t>KENDAL CELEBRATIONS LIMITED</t>
  </si>
  <si>
    <t>COREGENIC LTD</t>
  </si>
  <si>
    <t>HENNERLEY'S GROUNDWORK'S &amp; DRIVEWAY'S LIMITED</t>
  </si>
  <si>
    <t>STRANGEBOX LIMITED</t>
  </si>
  <si>
    <t>SOUTH EAST BUILDING SERVICES (UK) LTD</t>
  </si>
  <si>
    <t>360 Insol</t>
  </si>
  <si>
    <t>Rochester</t>
  </si>
  <si>
    <t>KOGUK LTD</t>
  </si>
  <si>
    <t>RHINOS CLUBS LTD</t>
  </si>
  <si>
    <t>THE PIANO MOVERS LIMITED</t>
  </si>
  <si>
    <t>I4C LTD</t>
  </si>
  <si>
    <t>EMTEC CORPORATION LIMITED</t>
  </si>
  <si>
    <t>WEXMAR VEHICLE LEASING LIMITED</t>
  </si>
  <si>
    <t>ZAYTOON RESTAURANTS LIMITED</t>
  </si>
  <si>
    <t>THINK NATIVE LTD</t>
  </si>
  <si>
    <t>GB BUILDERSBASE LTD</t>
  </si>
  <si>
    <t>NORTHERN PSYCHOLOGICAL THERAPIES ASSOCIATES LIMITED</t>
  </si>
  <si>
    <t>CYS ONLINE LIMITED</t>
  </si>
  <si>
    <t>ELIA DELI LTD</t>
  </si>
  <si>
    <t>AJB</t>
  </si>
  <si>
    <t>THE BALD BADGER (BIRDINGBURY) LTD</t>
  </si>
  <si>
    <t>LAVANT ROWE HAIRDRESSING LIMITED</t>
  </si>
  <si>
    <t>STANLIL CONTRACTORS LIMITED</t>
  </si>
  <si>
    <t>SAMANA FOOD LIMITED</t>
  </si>
  <si>
    <t>ANDY GAS LIMITED</t>
  </si>
  <si>
    <t>PLANIT WRIGHT LIMITED</t>
  </si>
  <si>
    <t>BLACK CAT PROPERTY DEVELOPMENTS LIMITED</t>
  </si>
  <si>
    <t>CJH COMMERCIAL SOLUTIONS LTD</t>
  </si>
  <si>
    <t>MIDLAND JAY HEATING &amp; AIR CONDITIONING LIMITED</t>
  </si>
  <si>
    <t>AHAD TANDOORI RESTAURANT (GOSFORTH) LIMITED</t>
  </si>
  <si>
    <t>K.I.M VIP LTD</t>
  </si>
  <si>
    <t>MD SPORTS SOLUTIONS LTD</t>
  </si>
  <si>
    <t>WINDSOR HOUSE ANTIQUES (LEEDS) LIMITED</t>
  </si>
  <si>
    <t>JTI ENGINEERING SERVICES LTD</t>
  </si>
  <si>
    <t>UBIQUITY INVESTMENTS LIMITED</t>
  </si>
  <si>
    <t>LAUNDRY REVOLUTIONS LTD</t>
  </si>
  <si>
    <t>SICARIO RECORDS LTD</t>
  </si>
  <si>
    <t>Stones &amp; co</t>
  </si>
  <si>
    <t>jtPurnells</t>
  </si>
  <si>
    <t>jtOpus</t>
  </si>
  <si>
    <t>Sterling Adv</t>
  </si>
  <si>
    <t>Castle Donington</t>
  </si>
  <si>
    <t>Rollings Butt</t>
  </si>
  <si>
    <t>Resolve Fin</t>
  </si>
  <si>
    <t>Crawley</t>
  </si>
  <si>
    <t>Janes</t>
  </si>
  <si>
    <t>NEUM</t>
  </si>
  <si>
    <t>Enderby</t>
  </si>
  <si>
    <t>Huddersfield</t>
  </si>
  <si>
    <t>jtIrwin Insol</t>
  </si>
  <si>
    <t>jtCBA</t>
  </si>
  <si>
    <t>Price Bailey</t>
  </si>
  <si>
    <t>LBK</t>
  </si>
  <si>
    <t>jtfrench Duncan</t>
  </si>
  <si>
    <t>JtMazars</t>
  </si>
  <si>
    <t>CBBr</t>
  </si>
  <si>
    <t>jtBishop Fleming</t>
  </si>
  <si>
    <t>jtFrancis Clark</t>
  </si>
  <si>
    <t>Cleackheaton</t>
  </si>
  <si>
    <t>RON CHALKER ("THE POTATO MAN") LIMITED"</t>
  </si>
  <si>
    <t>Richmond P'ship</t>
  </si>
  <si>
    <t>Richmond</t>
  </si>
  <si>
    <t>Westcotts</t>
  </si>
  <si>
    <t xml:space="preserve">TH Fin </t>
  </si>
  <si>
    <t>Re10</t>
  </si>
  <si>
    <t>jtCowgill Holloway</t>
  </si>
  <si>
    <t>John Harlow ICR</t>
  </si>
  <si>
    <t>NUTRIFEVER LTD</t>
  </si>
  <si>
    <t>ARUKU LLP</t>
  </si>
  <si>
    <t>OC416571</t>
  </si>
  <si>
    <t>AVENTUS COMMISSIONING LIMITED</t>
  </si>
  <si>
    <t>SHAJHAN LIMITED</t>
  </si>
  <si>
    <t>JPM HAIR LIMITED</t>
  </si>
  <si>
    <t>DESIGNARM (UK) LTD</t>
  </si>
  <si>
    <t>CUSTOM WINDOWS &amp; DOORS LIMITED</t>
  </si>
  <si>
    <t>OFFBEET (SOUTHAMPTON) LIMITED</t>
  </si>
  <si>
    <t>HOLLER BRIGHTON LIMITED</t>
  </si>
  <si>
    <t>AQUALINE SERVICES LIMITED</t>
  </si>
  <si>
    <t>JOUZDANI LTD</t>
  </si>
  <si>
    <t>MINISTRY OF FURNITURE LTD</t>
  </si>
  <si>
    <t>VSG INTERNATIONAL LTD</t>
  </si>
  <si>
    <t>MB UNION LTD</t>
  </si>
  <si>
    <t>DDB TOTAL PROPERTY SOLUTIONS LTD</t>
  </si>
  <si>
    <t>BAR PADRON LIMITED</t>
  </si>
  <si>
    <t>PIVOTAL RECRUITMENT LTD</t>
  </si>
  <si>
    <t>PINO WORKSHOP LTD</t>
  </si>
  <si>
    <t>KEN MUIR LIMITED</t>
  </si>
  <si>
    <t>ECO FRIENDLY ENERGY LTD</t>
  </si>
  <si>
    <t>U.K. EUROCONNECT LIMITED</t>
  </si>
  <si>
    <t>BERKELEY CONSTRUCTION SERVICES (UK) LIMITED</t>
  </si>
  <si>
    <t>POTTERS BOXMAKERS LIMITED</t>
  </si>
  <si>
    <t>AMICI (WEST YORKSHIRE) LIMITED</t>
  </si>
  <si>
    <t>SEYMOUR DAVIES LTD.</t>
  </si>
  <si>
    <t>PEM</t>
  </si>
  <si>
    <t>CEQ LIMITED</t>
  </si>
  <si>
    <t>TRIMDEV LIMITED</t>
  </si>
  <si>
    <t>Smart BRL</t>
  </si>
  <si>
    <t>REDROSE CARS LIMITED</t>
  </si>
  <si>
    <t>TYNEMOUTH WINDOWS &amp; CONSERVATORIES LTD</t>
  </si>
  <si>
    <t>GD JOINERY &amp; BUILDING SERVICES LIMITED</t>
  </si>
  <si>
    <t>J OXLEY &amp; SONS LTD</t>
  </si>
  <si>
    <t>CHARIOTS OF ESSEX LIMITED</t>
  </si>
  <si>
    <t>YUMMIES LIMITED</t>
  </si>
  <si>
    <t>TRAVEL ITEMS LTD</t>
  </si>
  <si>
    <t>DAGGER ELECTRICAL LIMITED</t>
  </si>
  <si>
    <t>RGW VEHICLE CONTRACTS LIMITED</t>
  </si>
  <si>
    <t>DOWNSEA LIMITED</t>
  </si>
  <si>
    <t>TALOUIES LIMITED</t>
  </si>
  <si>
    <t>TRANSLEON LTD</t>
  </si>
  <si>
    <t>TIERGLAZE LIMITED</t>
  </si>
  <si>
    <t>FANTASTIC THINGS LIMITED</t>
  </si>
  <si>
    <t>ROCKET JUMP TECHNOLOGY LTD</t>
  </si>
  <si>
    <t>ANOTHER PLANET AV LIMITED</t>
  </si>
  <si>
    <t>VJC ELECTRICAL SERVICES (NORWICH) LIMITED</t>
  </si>
  <si>
    <t>BEACHWOOD COMMERCIALS LTD</t>
  </si>
  <si>
    <t>KINGSWELL DESIGN &amp; BUILD SERVICES LIMITED</t>
  </si>
  <si>
    <t>ROB CROSS DARTS LIMITED</t>
  </si>
  <si>
    <t>WATERSIDE BUILDING SOLUTIONS LIMITED</t>
  </si>
  <si>
    <t>TECLABS SOFTWARE SOLUTIONS LTD</t>
  </si>
  <si>
    <t>HOLLAND ROOFING (EAST) LIMITED</t>
  </si>
  <si>
    <t>GRAPES FASHIONS LTD</t>
  </si>
  <si>
    <t>STEVANA LIMITED</t>
  </si>
  <si>
    <t>F B ARCHITECTURE LIMITED</t>
  </si>
  <si>
    <t>MIKE ROBERTS GAS TRAINING AND CONSULTANCY LTD</t>
  </si>
  <si>
    <t>NEW LION BREWERY LIMITED</t>
  </si>
  <si>
    <t>RS008177</t>
  </si>
  <si>
    <t>TECHMETTLE LTD</t>
  </si>
  <si>
    <t>BENTO BOX (NE) LTD</t>
  </si>
  <si>
    <t>SD GROUP IT LIMITED</t>
  </si>
  <si>
    <t>LINCS ELECTRICAL CONTRACTORS LIMITED</t>
  </si>
  <si>
    <t>MIDPORT CONSTRUCTION LIMITED</t>
  </si>
  <si>
    <t>ERG HOME LIMITED</t>
  </si>
  <si>
    <t>MOOR H2O LIMITED</t>
  </si>
  <si>
    <t>CRAIG SILVERA LIMITED</t>
  </si>
  <si>
    <t>AKI GROUP LTD</t>
  </si>
  <si>
    <t>EASTLAND TRADING UK LIMITED</t>
  </si>
  <si>
    <t>SCHOOLS DIRECT SUPPLIES LIMITED</t>
  </si>
  <si>
    <t>BELLWETHER NW LTD</t>
  </si>
  <si>
    <t>AUNTIES TEA SHOP LTD.</t>
  </si>
  <si>
    <t>D &amp; H CATERING LIMITED</t>
  </si>
  <si>
    <t>VI GLEAM TEAM LTD</t>
  </si>
  <si>
    <t>ROOCROFT CIVIL ENGINEERING LTD</t>
  </si>
  <si>
    <t>GLOBAL CHEESE LIMITED</t>
  </si>
  <si>
    <t>ALPHA PRIVATE HIRE LTD</t>
  </si>
  <si>
    <t>WHITE SWAN ORP LIMITED</t>
  </si>
  <si>
    <t>48.3 SCAFFOLD DESIGN LIMITED</t>
  </si>
  <si>
    <t>07528230</t>
  </si>
  <si>
    <t>A5 AUTOMOTIVE TAMWORTH LTD</t>
  </si>
  <si>
    <t>08826584</t>
  </si>
  <si>
    <t>ALL IN CARS LIMITED</t>
  </si>
  <si>
    <t>AVATAR CREATIVE LIMITED</t>
  </si>
  <si>
    <t>06527993</t>
  </si>
  <si>
    <t>AYRES VAUSE ACCOUNTANCY LTD</t>
  </si>
  <si>
    <t>09574404</t>
  </si>
  <si>
    <t>BAYTREES WS LTD</t>
  </si>
  <si>
    <t>09551237</t>
  </si>
  <si>
    <t>BLUE SPARKLE CLEANING CONTRACTORS LTD</t>
  </si>
  <si>
    <t>07907721</t>
  </si>
  <si>
    <t>BRANDED THINGS LTD</t>
  </si>
  <si>
    <t>BROMSTONE ENGINEERING LIMITED</t>
  </si>
  <si>
    <t>03495010</t>
  </si>
  <si>
    <t>BUILD-MET LTD</t>
  </si>
  <si>
    <t>09694380</t>
  </si>
  <si>
    <t>C.F. DALE LIMITED</t>
  </si>
  <si>
    <t>08761617</t>
  </si>
  <si>
    <t>CARPET PLANETS &amp; BEDS LTD</t>
  </si>
  <si>
    <t>09759846</t>
  </si>
  <si>
    <t>CENTRAL LEISURE DEVELOPMENTS LIMITED</t>
  </si>
  <si>
    <t>08207122</t>
  </si>
  <si>
    <t>COFFEE EXPRESS &amp; MORE LTD</t>
  </si>
  <si>
    <t>COOL BRILLIANT DISTRIBUTION COMPANY LIMITED</t>
  </si>
  <si>
    <t>COSMO GRAPHIS IMAGING LTD</t>
  </si>
  <si>
    <t>02091051</t>
  </si>
  <si>
    <t>DE BEAUVOIR ARMS LIMITED</t>
  </si>
  <si>
    <t>DEADWOOD SMOKEHOUSE 3 LTD</t>
  </si>
  <si>
    <t>DIRECT ELECTRICAL SUPPLIES LIMITED</t>
  </si>
  <si>
    <t>02245784</t>
  </si>
  <si>
    <t>DREAM BUILDING SOLUTION LIMITED</t>
  </si>
  <si>
    <t>09643703</t>
  </si>
  <si>
    <t>DREAM SPACE STUDIO LIMITED</t>
  </si>
  <si>
    <t>07027728</t>
  </si>
  <si>
    <t>EATWELLSLEEPWELL LIMITED</t>
  </si>
  <si>
    <t>ECODESIGNSHOP LTD</t>
  </si>
  <si>
    <t>EQUIEM LIMITED</t>
  </si>
  <si>
    <t>07348646</t>
  </si>
  <si>
    <t>FLAMES GRILL LTD</t>
  </si>
  <si>
    <t>FLINT ROSS MOORHOUSE LIMITED</t>
  </si>
  <si>
    <t>FLITVALE GARDEN CENTRE LIMITED</t>
  </si>
  <si>
    <t>04512458</t>
  </si>
  <si>
    <t>FRIARY STREET RESTAURANTS LTD</t>
  </si>
  <si>
    <t>FULGORA ELECTRICAL LTD</t>
  </si>
  <si>
    <t>07346693</t>
  </si>
  <si>
    <t>FURNEVALL.COM LIMITED</t>
  </si>
  <si>
    <t>05152917</t>
  </si>
  <si>
    <t>GREATER PROTECTION FIRE &amp; SECURITY LTD</t>
  </si>
  <si>
    <t>HANWELLS RUSTINGTON LIMITED</t>
  </si>
  <si>
    <t>HAPPY BRANDS LIMITED</t>
  </si>
  <si>
    <t>HBD MANUFACTURING LIMITED</t>
  </si>
  <si>
    <t>05514497</t>
  </si>
  <si>
    <t>HEMINGCO LTD</t>
  </si>
  <si>
    <t>IPUB GROUP LIMITED</t>
  </si>
  <si>
    <t>J SHEARS FISH SERVICES LIMITED</t>
  </si>
  <si>
    <t>05382933</t>
  </si>
  <si>
    <t>J.R. ENGLAND ENGINEERING SERVICES COMPANY LIMITED</t>
  </si>
  <si>
    <t>03201870</t>
  </si>
  <si>
    <t>JOHNNY DOUGH'S LIMITED</t>
  </si>
  <si>
    <t>JS PRESTIGE CONSTRUCTION LTD</t>
  </si>
  <si>
    <t>08597320</t>
  </si>
  <si>
    <t>JSD ENGINEERING LTD</t>
  </si>
  <si>
    <t>07856086</t>
  </si>
  <si>
    <t>KAYA WHOLESALE LTD</t>
  </si>
  <si>
    <t>LADYBIKER LIMITED</t>
  </si>
  <si>
    <t>LED EVENTS LIMITED</t>
  </si>
  <si>
    <t>07225667</t>
  </si>
  <si>
    <t>LITHUANIAN GROCERY LIMITED</t>
  </si>
  <si>
    <t>09133776</t>
  </si>
  <si>
    <t>LODGE ENVIRONMENTAL SOLUTIONS LIMITED</t>
  </si>
  <si>
    <t>03123136</t>
  </si>
  <si>
    <t>MAGLOVE LTD</t>
  </si>
  <si>
    <t>MARIA ALONSO LIMITED</t>
  </si>
  <si>
    <t>08794442</t>
  </si>
  <si>
    <t>MORE CARS LTD</t>
  </si>
  <si>
    <t>09461353</t>
  </si>
  <si>
    <t>NANA SUSIES CAFE LIMITED</t>
  </si>
  <si>
    <t>09869623</t>
  </si>
  <si>
    <t>NCJ CONSTRUCTION LTD</t>
  </si>
  <si>
    <t>NR BUILDING SERVICE LIMITED</t>
  </si>
  <si>
    <t>OPTIMUM BEAUTY AND HEALTH LTD</t>
  </si>
  <si>
    <t>07824065</t>
  </si>
  <si>
    <t>PAPERWAITS LIMITED</t>
  </si>
  <si>
    <t>08816925</t>
  </si>
  <si>
    <t>PILETECH SOUTH LTD</t>
  </si>
  <si>
    <t>09583662</t>
  </si>
  <si>
    <t>R LUCKY HOUSE LIMITED</t>
  </si>
  <si>
    <t>RICHTER ASSOCIATES (REDHILL) LIMITED</t>
  </si>
  <si>
    <t>SES ENERGY SOLUTIONS LIMITED</t>
  </si>
  <si>
    <t>SKH ELECTRICAL TEESSIDE LTD</t>
  </si>
  <si>
    <t>08243991</t>
  </si>
  <si>
    <t>SPIRE TIRE AND AUTO LIMITED</t>
  </si>
  <si>
    <t>02971290</t>
  </si>
  <si>
    <t>THE MAMMOTH RETAIL GROUP LTD</t>
  </si>
  <si>
    <t>03916764</t>
  </si>
  <si>
    <t>THE RED HART DONCASTER MISTERTON LTD</t>
  </si>
  <si>
    <t>TRIMZ TRADING AS TRIMS LTD</t>
  </si>
  <si>
    <t>07084146</t>
  </si>
  <si>
    <t>U.K. POND PRODUCTS LIMITED</t>
  </si>
  <si>
    <t>02787694</t>
  </si>
  <si>
    <t>UM INTERNATIONAL LTD</t>
  </si>
  <si>
    <t>URBAN SKILLS LIMITED</t>
  </si>
  <si>
    <t>VISS TOOLS LIMITED</t>
  </si>
  <si>
    <t>WAWNE FERRY PUBLIC HOUSE LIMITED</t>
  </si>
  <si>
    <t>WHOOSH MEDIA LTD</t>
  </si>
  <si>
    <t>08568399</t>
  </si>
  <si>
    <t>WITTS LIMITED</t>
  </si>
  <si>
    <t>05569020</t>
  </si>
  <si>
    <t>XPECT COURIERS LIMITED</t>
  </si>
  <si>
    <t>ZF TRANSPORT LTD</t>
  </si>
  <si>
    <t>08657725</t>
  </si>
  <si>
    <t>IRL</t>
  </si>
  <si>
    <t>RP Rendle &amp; Co</t>
  </si>
  <si>
    <t>Solihull</t>
  </si>
  <si>
    <t>COLMORE TANG CONSTRUCTION LIMITED</t>
  </si>
  <si>
    <t>DAB TECHNOLOGY SERVICES LTD</t>
  </si>
  <si>
    <t>H.O.C.S FRUIT AND VEGETABLE SUPPLIERS LTD</t>
  </si>
  <si>
    <t>HERTFORD HOMES GROUP LTD</t>
  </si>
  <si>
    <t>SUPERAX LIMITED</t>
  </si>
  <si>
    <t>THAMES WIRE PRODUCTIONS LIMITED(THE</t>
  </si>
  <si>
    <t>CLIFTON AND CO LTD</t>
  </si>
  <si>
    <t>RUBBISH CLEARANCE LIMITED</t>
  </si>
  <si>
    <t>ANSA TRAFFIC AND CONSTRUCTION LIMITED</t>
  </si>
  <si>
    <t>ALWAYS CARING SOLIHULL LIMITED</t>
  </si>
  <si>
    <t>POLARIS APPAREL LIMITED</t>
  </si>
  <si>
    <t>83 HIGH STREET LTD</t>
  </si>
  <si>
    <t>TERRAINTECH PARTS LIMITED</t>
  </si>
  <si>
    <t>GUARDIAN ROOF DESIGNS LTD</t>
  </si>
  <si>
    <t>SIMPLY CARING (SW) LIMITED</t>
  </si>
  <si>
    <t>POPTAILS &amp; DREAMS LTD</t>
  </si>
  <si>
    <t>PHONES FIX LTD</t>
  </si>
  <si>
    <t>FRESH ATTITUDE EVENTS LIMITED</t>
  </si>
  <si>
    <t>RISE OFFICE INTERIORS LTD</t>
  </si>
  <si>
    <t>SKRB DEVELOPMENTS LIMITED</t>
  </si>
  <si>
    <t>RSP DESIGN SERVICES LIMITED</t>
  </si>
  <si>
    <t>ATW SIGNS LIMITED</t>
  </si>
  <si>
    <t>ALT IMS SERVICES LIMITED</t>
  </si>
  <si>
    <t>Wythenshawe</t>
  </si>
  <si>
    <t>MOUNT FUJI LIMITED</t>
  </si>
  <si>
    <t>ROUND CREATIVE LTD</t>
  </si>
  <si>
    <t>HEIDI SUMMERS LIMITED</t>
  </si>
  <si>
    <t>DEXTOR LIMITED</t>
  </si>
  <si>
    <t>MK SUPERSTORES LTD</t>
  </si>
  <si>
    <t>LUCCA JAMES LIMITED</t>
  </si>
  <si>
    <t>STANDBY SUPPORT SERVICES LIMITED</t>
  </si>
  <si>
    <t>XY PROD LTD</t>
  </si>
  <si>
    <t>SONA HEALTH LTD</t>
  </si>
  <si>
    <t>VITA VIDA LIMITED</t>
  </si>
  <si>
    <t>NEW IMAGE INTERIORS LTD</t>
  </si>
  <si>
    <t>THE CAR GUYS LIMITED</t>
  </si>
  <si>
    <t>CARTWHEEL COFFEE LTD</t>
  </si>
  <si>
    <t>KLAUS LTD</t>
  </si>
  <si>
    <t>HMM DRIVING SERVICES LTD</t>
  </si>
  <si>
    <t>CACTUS TRADING SOUTH LIMITED</t>
  </si>
  <si>
    <t>Cork Gully</t>
  </si>
  <si>
    <t>HIGHWEST LIMITED</t>
  </si>
  <si>
    <t>WORKSOP WOODMILL LTD</t>
  </si>
  <si>
    <t>STEPHENSON LAW (REGULATED) LIMITED</t>
  </si>
  <si>
    <t>STO24 UK003 LIMITED</t>
  </si>
  <si>
    <t>HOTEL SALES SUCCESS LIMITED</t>
  </si>
  <si>
    <t>LEAVES AND BEANS LTD</t>
  </si>
  <si>
    <t>THE CARES FAMILY LIMITED</t>
  </si>
  <si>
    <t>GARDEN GRILLS LIMITED</t>
  </si>
  <si>
    <t>POWER CABLE CONNECT LTD</t>
  </si>
  <si>
    <t>PPM AUTOCARE LIMITED</t>
  </si>
  <si>
    <t>jtJT Maxwell Ltd</t>
  </si>
  <si>
    <t>SFG</t>
  </si>
  <si>
    <t>jtWestcotts</t>
  </si>
  <si>
    <t>ipd</t>
  </si>
  <si>
    <t>Timothy Hargreaves P'ship</t>
  </si>
  <si>
    <t>Restart Bti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</si>
</sst>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i/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164" fontId="0" fillId="0" borderId="0" xfId="0" applyNumberFormat="1"/>
    <xf numFmtId="3" fontId="2" fillId="0" borderId="0" xfId="0" applyNumberFormat="1" applyFont="1"/>
    <xf numFmtId="14" fontId="2" fillId="0" borderId="0" xfId="0" applyNumberFormat="1" applyFont="1"/>
    <xf numFmtId="1" fontId="2" fillId="0" borderId="0" xfId="0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4" fontId="2" fillId="0" borderId="0" xfId="0" applyNumberFormat="1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28A9A-85AD-4418-ACA1-37B80633E956}">
  <dimension ref="A1:AN1870"/>
  <sheetViews>
    <sheetView tabSelected="1" topLeftCell="A2" zoomScale="80" zoomScaleNormal="80" workbookViewId="0">
      <pane xSplit="2" ySplit="2" topLeftCell="C4" activePane="bottomRight" state="frozen"/>
      <selection activeCell="A2" sqref="A2"/>
      <selection pane="topRight" activeCell="C2" sqref="C2"/>
      <selection pane="bottomLeft" activeCell="A4" sqref="A4"/>
      <selection pane="bottomRight" activeCell="A4" sqref="A4"/>
    </sheetView>
  </sheetViews>
  <sheetFormatPr defaultRowHeight="15" x14ac:dyDescent="0.25"/>
  <cols>
    <col min="1" max="1" width="23.5703125" customWidth="1"/>
    <col min="2" max="2" width="11.7109375" customWidth="1"/>
    <col min="3" max="3" width="17.42578125" customWidth="1"/>
    <col min="4" max="4" width="12.5703125" customWidth="1"/>
    <col min="5" max="5" width="14.5703125" customWidth="1"/>
    <col min="6" max="6" width="16.7109375" customWidth="1"/>
    <col min="7" max="7" width="10.42578125" customWidth="1"/>
    <col min="9" max="9" width="14.5703125" customWidth="1"/>
    <col min="10" max="10" width="12.42578125" customWidth="1"/>
    <col min="13" max="13" width="10.85546875" customWidth="1"/>
    <col min="14" max="14" width="11.7109375" customWidth="1"/>
    <col min="16" max="16" width="13.28515625" customWidth="1"/>
  </cols>
  <sheetData>
    <row r="1" spans="1:38" x14ac:dyDescent="0.25">
      <c r="A1" s="1" t="s">
        <v>0</v>
      </c>
      <c r="B1" s="2"/>
      <c r="C1" s="3"/>
      <c r="D1" s="3"/>
      <c r="E1" s="4"/>
      <c r="F1" s="2"/>
      <c r="G1" s="2"/>
      <c r="H1" s="2"/>
      <c r="I1" s="5"/>
      <c r="J1" s="2"/>
      <c r="K1" s="6"/>
      <c r="L1" s="2"/>
      <c r="M1" s="7"/>
      <c r="N1" s="7"/>
      <c r="O1" s="2"/>
      <c r="P1" s="2"/>
      <c r="Q1" s="2"/>
      <c r="R1" s="4"/>
      <c r="S1" s="6"/>
      <c r="T1" s="2"/>
      <c r="U1" s="2"/>
      <c r="V1" s="2"/>
      <c r="W1" s="2"/>
      <c r="X1" s="2"/>
    </row>
    <row r="2" spans="1:38" ht="34.5" customHeight="1" x14ac:dyDescent="0.25">
      <c r="A2" s="8" t="s">
        <v>1</v>
      </c>
      <c r="B2" s="9" t="s">
        <v>2</v>
      </c>
      <c r="C2" s="10" t="s">
        <v>3</v>
      </c>
      <c r="D2" s="10" t="s">
        <v>4</v>
      </c>
      <c r="E2" s="8" t="s">
        <v>5</v>
      </c>
      <c r="F2" s="8"/>
      <c r="G2" s="8"/>
      <c r="H2" s="8"/>
      <c r="I2" s="8"/>
      <c r="J2" s="8"/>
      <c r="K2" s="8"/>
      <c r="L2" s="8"/>
      <c r="M2" s="11"/>
      <c r="N2" s="11"/>
      <c r="O2" s="8"/>
      <c r="P2" s="8"/>
      <c r="Q2" s="8"/>
      <c r="R2" s="9"/>
      <c r="S2" s="12"/>
      <c r="T2" s="9"/>
      <c r="U2" s="9"/>
      <c r="V2" s="9"/>
      <c r="W2" s="9"/>
      <c r="X2" s="9"/>
    </row>
    <row r="3" spans="1:38" ht="19.5" customHeight="1" x14ac:dyDescent="0.25">
      <c r="A3" s="8"/>
      <c r="B3" s="9"/>
      <c r="C3" s="10"/>
      <c r="D3" s="10"/>
      <c r="E3" s="4"/>
      <c r="F3" s="8"/>
      <c r="G3" s="8"/>
      <c r="H3" s="8"/>
      <c r="I3" s="8"/>
      <c r="J3" s="8"/>
      <c r="K3" s="8"/>
      <c r="L3" s="8"/>
      <c r="M3" s="11"/>
      <c r="N3" s="11"/>
      <c r="O3" s="8"/>
      <c r="P3" s="8"/>
      <c r="Q3" s="8"/>
      <c r="R3" s="9"/>
      <c r="S3" s="12"/>
      <c r="T3" s="9"/>
      <c r="U3" s="9"/>
      <c r="V3" s="9"/>
      <c r="W3" s="9"/>
      <c r="X3" s="9"/>
    </row>
    <row r="4" spans="1:38" s="15" customFormat="1" x14ac:dyDescent="0.25">
      <c r="A4" s="1" t="s">
        <v>549</v>
      </c>
      <c r="B4">
        <v>7334683</v>
      </c>
      <c r="C4" s="2" t="s">
        <v>550</v>
      </c>
      <c r="D4" s="2" t="s">
        <v>551</v>
      </c>
      <c r="E4" s="4">
        <v>45225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s="15" customFormat="1" x14ac:dyDescent="0.25">
      <c r="A5" s="1" t="str">
        <f>"ROSEWOOD INVESTMENT (UK) LIMITED"</f>
        <v>ROSEWOOD INVESTMENT (UK) LIMITED</v>
      </c>
      <c r="B5" t="str">
        <f>"08269567"</f>
        <v>08269567</v>
      </c>
      <c r="C5" s="2" t="s">
        <v>550</v>
      </c>
      <c r="D5" s="2" t="s">
        <v>551</v>
      </c>
      <c r="E5" s="4">
        <v>45237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s="15" customFormat="1" x14ac:dyDescent="0.25">
      <c r="A6" s="1" t="str">
        <f>"TINGO LTD"</f>
        <v>TINGO LTD</v>
      </c>
      <c r="B6" t="str">
        <f>"10737414"</f>
        <v>10737414</v>
      </c>
      <c r="C6" s="2" t="s">
        <v>550</v>
      </c>
      <c r="D6" s="2" t="s">
        <v>551</v>
      </c>
      <c r="E6" s="4">
        <v>45250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s="15" customFormat="1" x14ac:dyDescent="0.25">
      <c r="A7" s="1" t="s">
        <v>850</v>
      </c>
      <c r="B7">
        <v>13679364</v>
      </c>
      <c r="C7" s="2" t="s">
        <v>550</v>
      </c>
      <c r="D7" s="2" t="s">
        <v>551</v>
      </c>
      <c r="E7" s="4">
        <v>45252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s="15" customFormat="1" x14ac:dyDescent="0.25">
      <c r="A8" s="1" t="s">
        <v>443</v>
      </c>
      <c r="B8">
        <v>10471464</v>
      </c>
      <c r="C8" s="2" t="s">
        <v>32</v>
      </c>
      <c r="D8" s="2" t="s">
        <v>7</v>
      </c>
      <c r="E8" s="4">
        <v>45222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s="15" customFormat="1" x14ac:dyDescent="0.25">
      <c r="A9" s="1" t="s">
        <v>446</v>
      </c>
      <c r="B9">
        <v>7812917</v>
      </c>
      <c r="C9" s="2" t="s">
        <v>32</v>
      </c>
      <c r="D9" s="2" t="s">
        <v>7</v>
      </c>
      <c r="E9" s="4">
        <v>45223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s="15" customFormat="1" x14ac:dyDescent="0.25">
      <c r="A10" s="1" t="s">
        <v>442</v>
      </c>
      <c r="B10">
        <v>4731580</v>
      </c>
      <c r="C10" s="2" t="s">
        <v>32</v>
      </c>
      <c r="D10" s="2" t="s">
        <v>7</v>
      </c>
      <c r="E10" s="4">
        <v>45225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pans="1:38" s="15" customFormat="1" x14ac:dyDescent="0.25">
      <c r="A11" s="1" t="s">
        <v>499</v>
      </c>
      <c r="B11">
        <v>6683143</v>
      </c>
      <c r="C11" s="2" t="s">
        <v>32</v>
      </c>
      <c r="D11" s="2" t="s">
        <v>7</v>
      </c>
      <c r="E11" s="4">
        <v>45225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s="15" customFormat="1" x14ac:dyDescent="0.25">
      <c r="A12" s="1" t="s">
        <v>504</v>
      </c>
      <c r="B12">
        <v>10929238</v>
      </c>
      <c r="C12" s="2" t="s">
        <v>32</v>
      </c>
      <c r="D12" s="2" t="s">
        <v>7</v>
      </c>
      <c r="E12" s="4">
        <v>45225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pans="1:38" s="15" customFormat="1" x14ac:dyDescent="0.25">
      <c r="A13" s="1" t="str">
        <f>"NOMAD HEALTH LIMITED"</f>
        <v>NOMAD HEALTH LIMITED</v>
      </c>
      <c r="B13" t="str">
        <f>"10182670"</f>
        <v>10182670</v>
      </c>
      <c r="C13" s="2" t="s">
        <v>32</v>
      </c>
      <c r="D13" s="2" t="s">
        <v>7</v>
      </c>
      <c r="E13" s="4">
        <v>45229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1:38" s="15" customFormat="1" x14ac:dyDescent="0.25">
      <c r="A14" s="1" t="str">
        <f>"PLANET PLANNING LIMITED"</f>
        <v>PLANET PLANNING LIMITED</v>
      </c>
      <c r="B14" t="str">
        <f>"09824526"</f>
        <v>09824526</v>
      </c>
      <c r="C14" s="2" t="s">
        <v>32</v>
      </c>
      <c r="D14" s="2" t="s">
        <v>7</v>
      </c>
      <c r="E14" s="4">
        <v>45230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s="15" customFormat="1" x14ac:dyDescent="0.25">
      <c r="A15" s="1" t="str">
        <f>"WHAT MONEY BUYS LTD."</f>
        <v>WHAT MONEY BUYS LTD.</v>
      </c>
      <c r="B15" t="str">
        <f>"09852286"</f>
        <v>09852286</v>
      </c>
      <c r="C15" s="2" t="s">
        <v>32</v>
      </c>
      <c r="D15" s="2" t="s">
        <v>7</v>
      </c>
      <c r="E15" s="4">
        <v>45231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s="15" customFormat="1" x14ac:dyDescent="0.25">
      <c r="A16" s="1" t="str">
        <f>"PRICK CACTI AND SUCCULENTS LTD"</f>
        <v>PRICK CACTI AND SUCCULENTS LTD</v>
      </c>
      <c r="B16" t="str">
        <f>"12036995"</f>
        <v>12036995</v>
      </c>
      <c r="C16" s="2" t="s">
        <v>32</v>
      </c>
      <c r="D16" s="2" t="s">
        <v>7</v>
      </c>
      <c r="E16" s="4">
        <v>45231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38" s="15" customFormat="1" x14ac:dyDescent="0.25">
      <c r="A17" s="1" t="str">
        <f>"THE NAIL BOUTIQUE CHELTENHAM LIMITED"</f>
        <v>THE NAIL BOUTIQUE CHELTENHAM LIMITED</v>
      </c>
      <c r="B17" t="str">
        <f>"13575640"</f>
        <v>13575640</v>
      </c>
      <c r="C17" s="2" t="s">
        <v>32</v>
      </c>
      <c r="D17" s="2" t="s">
        <v>7</v>
      </c>
      <c r="E17" s="4">
        <v>45232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38" s="15" customFormat="1" x14ac:dyDescent="0.25">
      <c r="A18" s="1" t="str">
        <f>"KESTREL BRICKWORK LIMITED"</f>
        <v>KESTREL BRICKWORK LIMITED</v>
      </c>
      <c r="B18" t="str">
        <f>"04493928"</f>
        <v>04493928</v>
      </c>
      <c r="C18" s="2" t="s">
        <v>32</v>
      </c>
      <c r="D18" s="2" t="s">
        <v>7</v>
      </c>
      <c r="E18" s="4">
        <v>45232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</row>
    <row r="19" spans="1:38" s="15" customFormat="1" x14ac:dyDescent="0.25">
      <c r="A19" s="1" t="str">
        <f>"ECOTEC ENTERPRISE SERVICES LTD"</f>
        <v>ECOTEC ENTERPRISE SERVICES LTD</v>
      </c>
      <c r="B19" t="str">
        <f>"10913793"</f>
        <v>10913793</v>
      </c>
      <c r="C19" s="2" t="s">
        <v>32</v>
      </c>
      <c r="D19" s="2" t="s">
        <v>7</v>
      </c>
      <c r="E19" s="4">
        <v>45236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1:38" s="15" customFormat="1" x14ac:dyDescent="0.25">
      <c r="A20" s="1" t="str">
        <f>"MACHT LIMITED"</f>
        <v>MACHT LIMITED</v>
      </c>
      <c r="B20" t="str">
        <f>"12696545"</f>
        <v>12696545</v>
      </c>
      <c r="C20" s="2" t="s">
        <v>32</v>
      </c>
      <c r="D20" s="2" t="s">
        <v>7</v>
      </c>
      <c r="E20" s="4">
        <v>45236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pans="1:38" s="15" customFormat="1" x14ac:dyDescent="0.25">
      <c r="A21" s="1" t="str">
        <f>"SHUTTERCRAFT SUFFOLK LIMITED"</f>
        <v>SHUTTERCRAFT SUFFOLK LIMITED</v>
      </c>
      <c r="B21" t="str">
        <f>"09178513"</f>
        <v>09178513</v>
      </c>
      <c r="C21" s="2" t="s">
        <v>32</v>
      </c>
      <c r="D21" s="2" t="s">
        <v>7</v>
      </c>
      <c r="E21" s="4">
        <v>45237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38" s="15" customFormat="1" x14ac:dyDescent="0.25">
      <c r="A22" s="1" t="str">
        <f>"ROOFSMART LIMITED"</f>
        <v>ROOFSMART LIMITED</v>
      </c>
      <c r="B22" t="str">
        <f>"09530252"</f>
        <v>09530252</v>
      </c>
      <c r="C22" s="2" t="s">
        <v>32</v>
      </c>
      <c r="D22" s="2" t="s">
        <v>7</v>
      </c>
      <c r="E22" s="4">
        <v>45238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</row>
    <row r="23" spans="1:38" s="15" customFormat="1" x14ac:dyDescent="0.25">
      <c r="A23" s="1" t="str">
        <f>"SYED &amp; CO LIMITED"</f>
        <v>SYED &amp; CO LIMITED</v>
      </c>
      <c r="B23" t="str">
        <f>"09159769"</f>
        <v>09159769</v>
      </c>
      <c r="C23" s="2" t="s">
        <v>32</v>
      </c>
      <c r="D23" s="2" t="s">
        <v>7</v>
      </c>
      <c r="E23" s="4">
        <v>45238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</row>
    <row r="24" spans="1:38" s="15" customFormat="1" x14ac:dyDescent="0.25">
      <c r="A24" s="1" t="str">
        <f>"BK CAR WASH LTD"</f>
        <v>BK CAR WASH LTD</v>
      </c>
      <c r="B24" t="str">
        <f>"11126168"</f>
        <v>11126168</v>
      </c>
      <c r="C24" s="2" t="s">
        <v>32</v>
      </c>
      <c r="D24" s="2" t="s">
        <v>7</v>
      </c>
      <c r="E24" s="4">
        <v>45239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</row>
    <row r="25" spans="1:38" s="15" customFormat="1" x14ac:dyDescent="0.25">
      <c r="A25" s="1" t="str">
        <f>"D12  LIMITED"</f>
        <v>D12  LIMITED</v>
      </c>
      <c r="B25" t="str">
        <f>"05332405"</f>
        <v>05332405</v>
      </c>
      <c r="C25" s="2" t="s">
        <v>32</v>
      </c>
      <c r="D25" s="2" t="s">
        <v>7</v>
      </c>
      <c r="E25" s="4">
        <v>45239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</row>
    <row r="26" spans="1:38" s="15" customFormat="1" x14ac:dyDescent="0.25">
      <c r="A26" s="1" t="str">
        <f>"GREEN LYGTH LTD"</f>
        <v>GREEN LYGTH LTD</v>
      </c>
      <c r="B26" t="str">
        <f>"08795716"</f>
        <v>08795716</v>
      </c>
      <c r="C26" s="2" t="s">
        <v>32</v>
      </c>
      <c r="D26" s="2" t="s">
        <v>7</v>
      </c>
      <c r="E26" s="4">
        <v>45239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</row>
    <row r="27" spans="1:38" s="15" customFormat="1" x14ac:dyDescent="0.25">
      <c r="A27" s="1" t="str">
        <f>"LUXTONE TECHNOLOGY LTD"</f>
        <v>LUXTONE TECHNOLOGY LTD</v>
      </c>
      <c r="B27" t="str">
        <f>"08676358"</f>
        <v>08676358</v>
      </c>
      <c r="C27" s="2" t="s">
        <v>32</v>
      </c>
      <c r="D27" s="2" t="s">
        <v>7</v>
      </c>
      <c r="E27" s="4">
        <v>45239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</row>
    <row r="28" spans="1:38" s="15" customFormat="1" x14ac:dyDescent="0.25">
      <c r="A28" s="1" t="str">
        <f>"SUNFLOWER SERVICES LTD"</f>
        <v>SUNFLOWER SERVICES LTD</v>
      </c>
      <c r="B28" t="str">
        <f>"12027792"</f>
        <v>12027792</v>
      </c>
      <c r="C28" s="2" t="s">
        <v>32</v>
      </c>
      <c r="D28" s="2" t="s">
        <v>7</v>
      </c>
      <c r="E28" s="4">
        <v>45239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</row>
    <row r="29" spans="1:38" s="15" customFormat="1" x14ac:dyDescent="0.25">
      <c r="A29" s="1" t="s">
        <v>680</v>
      </c>
      <c r="B29">
        <v>6572129</v>
      </c>
      <c r="C29" s="2" t="s">
        <v>32</v>
      </c>
      <c r="D29" s="2" t="s">
        <v>7</v>
      </c>
      <c r="E29" s="4">
        <v>45243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</row>
    <row r="30" spans="1:38" s="15" customFormat="1" x14ac:dyDescent="0.25">
      <c r="A30" s="1" t="str">
        <f>"ALOTBSOL LIMITED"</f>
        <v>ALOTBSOL LIMITED</v>
      </c>
      <c r="B30" t="str">
        <f>"09786038"</f>
        <v>09786038</v>
      </c>
      <c r="C30" s="2" t="s">
        <v>32</v>
      </c>
      <c r="D30" s="2" t="s">
        <v>7</v>
      </c>
      <c r="E30" s="4">
        <v>45251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</row>
    <row r="31" spans="1:38" s="15" customFormat="1" x14ac:dyDescent="0.25">
      <c r="A31" s="1" t="str">
        <f>"I D CONSTRUCTION (NOTTM) LIMITED"</f>
        <v>I D CONSTRUCTION (NOTTM) LIMITED</v>
      </c>
      <c r="B31" t="str">
        <f>"07054575"</f>
        <v>07054575</v>
      </c>
      <c r="C31" s="2" t="s">
        <v>32</v>
      </c>
      <c r="D31" s="2" t="s">
        <v>7</v>
      </c>
      <c r="E31" s="4">
        <v>45251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s="15" customFormat="1" x14ac:dyDescent="0.25">
      <c r="A32" s="1" t="str">
        <f>"ROSENTHAL DESIGN SERVICES LIMITED"</f>
        <v>ROSENTHAL DESIGN SERVICES LIMITED</v>
      </c>
      <c r="B32" t="str">
        <f>"07426615"</f>
        <v>07426615</v>
      </c>
      <c r="C32" s="2" t="s">
        <v>32</v>
      </c>
      <c r="D32" s="2" t="s">
        <v>7</v>
      </c>
      <c r="E32" s="4">
        <v>45252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</row>
    <row r="33" spans="1:38" s="15" customFormat="1" x14ac:dyDescent="0.25">
      <c r="A33" s="1" t="str">
        <f>"ATIME CHILDCARE LIMITED"</f>
        <v>ATIME CHILDCARE LIMITED</v>
      </c>
      <c r="B33" t="str">
        <f>"04031717"</f>
        <v>04031717</v>
      </c>
      <c r="C33" s="2" t="s">
        <v>32</v>
      </c>
      <c r="D33" s="2" t="s">
        <v>7</v>
      </c>
      <c r="E33" s="4">
        <v>45253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</row>
    <row r="34" spans="1:38" s="15" customFormat="1" x14ac:dyDescent="0.25">
      <c r="A34" s="1" t="str">
        <f>"DIFURIA TRAINING &amp; PLANT LIMITED"</f>
        <v>DIFURIA TRAINING &amp; PLANT LIMITED</v>
      </c>
      <c r="B34" t="str">
        <f>"08741888"</f>
        <v>08741888</v>
      </c>
      <c r="C34" s="2" t="s">
        <v>314</v>
      </c>
      <c r="D34" s="2" t="s">
        <v>58</v>
      </c>
      <c r="E34" s="4">
        <v>45239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</row>
    <row r="35" spans="1:38" s="15" customFormat="1" x14ac:dyDescent="0.25">
      <c r="A35" s="1" t="str">
        <f>"ABRAXIS LTD."</f>
        <v>ABRAXIS LTD.</v>
      </c>
      <c r="B35" t="str">
        <f>"10337548"</f>
        <v>10337548</v>
      </c>
      <c r="C35" s="2" t="s">
        <v>314</v>
      </c>
      <c r="D35" s="2" t="s">
        <v>58</v>
      </c>
      <c r="E35" s="4">
        <v>45245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</row>
    <row r="36" spans="1:38" s="15" customFormat="1" x14ac:dyDescent="0.25">
      <c r="A36" s="1" t="s">
        <v>506</v>
      </c>
      <c r="B36">
        <v>8542374</v>
      </c>
      <c r="C36" s="2" t="s">
        <v>87</v>
      </c>
      <c r="D36" s="2" t="s">
        <v>88</v>
      </c>
      <c r="E36" s="4">
        <v>45225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</row>
    <row r="37" spans="1:38" s="15" customFormat="1" x14ac:dyDescent="0.25">
      <c r="A37" s="1" t="s">
        <v>510</v>
      </c>
      <c r="B37">
        <v>7696474</v>
      </c>
      <c r="C37" s="2" t="s">
        <v>87</v>
      </c>
      <c r="D37" s="2" t="s">
        <v>88</v>
      </c>
      <c r="E37" s="4">
        <v>45226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</row>
    <row r="38" spans="1:38" s="15" customFormat="1" x14ac:dyDescent="0.25">
      <c r="A38" s="1" t="s">
        <v>507</v>
      </c>
      <c r="B38">
        <v>13328506</v>
      </c>
      <c r="C38" s="2" t="s">
        <v>87</v>
      </c>
      <c r="D38" s="2" t="s">
        <v>88</v>
      </c>
      <c r="E38" s="4">
        <v>45226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</row>
    <row r="39" spans="1:38" s="15" customFormat="1" x14ac:dyDescent="0.25">
      <c r="A39" s="1" t="str">
        <f>"CAFE HQ LIMITED"</f>
        <v>CAFE HQ LIMITED</v>
      </c>
      <c r="B39" t="str">
        <f>"13899773"</f>
        <v>13899773</v>
      </c>
      <c r="C39" s="2" t="s">
        <v>87</v>
      </c>
      <c r="D39" s="2" t="s">
        <v>88</v>
      </c>
      <c r="E39" s="4">
        <v>45226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</row>
    <row r="40" spans="1:38" s="15" customFormat="1" x14ac:dyDescent="0.25">
      <c r="A40" s="1" t="str">
        <f>"CONNECTED EXECUTIVES LTD"</f>
        <v>CONNECTED EXECUTIVES LTD</v>
      </c>
      <c r="B40" t="str">
        <f>"12749603"</f>
        <v>12749603</v>
      </c>
      <c r="C40" s="2" t="s">
        <v>87</v>
      </c>
      <c r="D40" s="2" t="s">
        <v>88</v>
      </c>
      <c r="E40" s="4">
        <v>45226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</row>
    <row r="41" spans="1:38" s="15" customFormat="1" x14ac:dyDescent="0.25">
      <c r="A41" s="1" t="str">
        <f>"ITECH MOBILES NW LTD"</f>
        <v>ITECH MOBILES NW LTD</v>
      </c>
      <c r="B41" t="str">
        <f>"11780927"</f>
        <v>11780927</v>
      </c>
      <c r="C41" s="2" t="s">
        <v>87</v>
      </c>
      <c r="D41" s="2" t="s">
        <v>88</v>
      </c>
      <c r="E41" s="4">
        <v>45226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</row>
    <row r="42" spans="1:38" s="15" customFormat="1" x14ac:dyDescent="0.25">
      <c r="A42" s="1" t="str">
        <f>"LOVE AND KISSES BOUTIQUE LTD"</f>
        <v>LOVE AND KISSES BOUTIQUE LTD</v>
      </c>
      <c r="B42" t="str">
        <f>"11219187"</f>
        <v>11219187</v>
      </c>
      <c r="C42" s="2" t="s">
        <v>87</v>
      </c>
      <c r="D42" s="2" t="s">
        <v>88</v>
      </c>
      <c r="E42" s="4">
        <v>45226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</row>
    <row r="43" spans="1:38" s="15" customFormat="1" x14ac:dyDescent="0.25">
      <c r="A43" s="1" t="str">
        <f>"PALLET PROVIDERS (WALES) LIMITED"</f>
        <v>PALLET PROVIDERS (WALES) LIMITED</v>
      </c>
      <c r="B43" t="str">
        <f>"11463652"</f>
        <v>11463652</v>
      </c>
      <c r="C43" s="2" t="s">
        <v>87</v>
      </c>
      <c r="D43" s="2" t="s">
        <v>88</v>
      </c>
      <c r="E43" s="4">
        <v>45226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</row>
    <row r="44" spans="1:38" s="15" customFormat="1" x14ac:dyDescent="0.25">
      <c r="A44" s="1" t="str">
        <f>"SAFESEAL WARM ROOFS LTD"</f>
        <v>SAFESEAL WARM ROOFS LTD</v>
      </c>
      <c r="B44" t="str">
        <f>"12076660"</f>
        <v>12076660</v>
      </c>
      <c r="C44" s="2" t="s">
        <v>87</v>
      </c>
      <c r="D44" s="2" t="s">
        <v>88</v>
      </c>
      <c r="E44" s="4">
        <v>45226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</row>
    <row r="45" spans="1:38" s="15" customFormat="1" x14ac:dyDescent="0.25">
      <c r="A45" s="1" t="str">
        <f>"RE DESIGNS SOUTH LIMITED"</f>
        <v>RE DESIGNS SOUTH LIMITED</v>
      </c>
      <c r="B45" t="str">
        <f>"10520648"</f>
        <v>10520648</v>
      </c>
      <c r="C45" s="2" t="s">
        <v>87</v>
      </c>
      <c r="D45" s="2" t="s">
        <v>88</v>
      </c>
      <c r="E45" s="4">
        <v>45226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38" s="15" customFormat="1" x14ac:dyDescent="0.25">
      <c r="A46" s="1" t="s">
        <v>509</v>
      </c>
      <c r="B46">
        <v>8834155</v>
      </c>
      <c r="C46" s="2" t="s">
        <v>87</v>
      </c>
      <c r="D46" s="2" t="s">
        <v>88</v>
      </c>
      <c r="E46" s="4">
        <v>45229</v>
      </c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38" s="15" customFormat="1" x14ac:dyDescent="0.25">
      <c r="A47" s="1" t="str">
        <f>"GLOUCESTER LOFT CONVERSIONS LIMITED"</f>
        <v>GLOUCESTER LOFT CONVERSIONS LIMITED</v>
      </c>
      <c r="B47" t="str">
        <f>"11670415"</f>
        <v>11670415</v>
      </c>
      <c r="C47" s="2" t="s">
        <v>87</v>
      </c>
      <c r="D47" s="2" t="s">
        <v>88</v>
      </c>
      <c r="E47" s="4">
        <v>45229</v>
      </c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38" s="15" customFormat="1" x14ac:dyDescent="0.25">
      <c r="A48" s="1" t="str">
        <f>"BATTON FLOORING LTD."</f>
        <v>BATTON FLOORING LTD.</v>
      </c>
      <c r="B48" t="str">
        <f>"11815944"</f>
        <v>11815944</v>
      </c>
      <c r="C48" s="2" t="s">
        <v>87</v>
      </c>
      <c r="D48" s="2" t="s">
        <v>88</v>
      </c>
      <c r="E48" s="4">
        <v>45229</v>
      </c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38" s="15" customFormat="1" x14ac:dyDescent="0.25">
      <c r="A49" s="1" t="str">
        <f>"H10 ROOFING CONTRACTORS LTD"</f>
        <v>H10 ROOFING CONTRACTORS LTD</v>
      </c>
      <c r="B49" t="str">
        <f>"09682427"</f>
        <v>09682427</v>
      </c>
      <c r="C49" s="2" t="s">
        <v>87</v>
      </c>
      <c r="D49" s="2" t="s">
        <v>88</v>
      </c>
      <c r="E49" s="4">
        <v>45229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38" s="15" customFormat="1" x14ac:dyDescent="0.25">
      <c r="A50" s="1" t="str">
        <f>"JUSTIN HYLTON ROOFING LIMITED"</f>
        <v>JUSTIN HYLTON ROOFING LIMITED</v>
      </c>
      <c r="B50" t="str">
        <f>"09023368"</f>
        <v>09023368</v>
      </c>
      <c r="C50" s="2" t="s">
        <v>87</v>
      </c>
      <c r="D50" s="2" t="s">
        <v>88</v>
      </c>
      <c r="E50" s="4">
        <v>45230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38" s="15" customFormat="1" x14ac:dyDescent="0.25">
      <c r="A51" s="1" t="str">
        <f>"MURTRANS LTD"</f>
        <v>MURTRANS LTD</v>
      </c>
      <c r="B51" t="str">
        <f>"11441761"</f>
        <v>11441761</v>
      </c>
      <c r="C51" s="2" t="s">
        <v>87</v>
      </c>
      <c r="D51" s="2" t="s">
        <v>88</v>
      </c>
      <c r="E51" s="4">
        <v>45230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38" s="15" customFormat="1" x14ac:dyDescent="0.25">
      <c r="A52" s="1" t="str">
        <f>"S MARIS LTD"</f>
        <v>S MARIS LTD</v>
      </c>
      <c r="B52" t="str">
        <f>"13393486"</f>
        <v>13393486</v>
      </c>
      <c r="C52" s="2" t="s">
        <v>87</v>
      </c>
      <c r="D52" s="2" t="s">
        <v>88</v>
      </c>
      <c r="E52" s="4">
        <v>45230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s="15" customFormat="1" x14ac:dyDescent="0.25">
      <c r="A53" s="1" t="str">
        <f>"MODA CONSTRUCT LTD"</f>
        <v>MODA CONSTRUCT LTD</v>
      </c>
      <c r="B53" t="str">
        <f>"13096688"</f>
        <v>13096688</v>
      </c>
      <c r="C53" s="2" t="s">
        <v>87</v>
      </c>
      <c r="D53" s="2" t="s">
        <v>88</v>
      </c>
      <c r="E53" s="4">
        <v>45230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spans="1:38" s="15" customFormat="1" x14ac:dyDescent="0.25">
      <c r="A54" s="1" t="str">
        <f>"COMPLETE DRIVEWAY DESIGNS LIMITED"</f>
        <v>COMPLETE DRIVEWAY DESIGNS LIMITED</v>
      </c>
      <c r="B54" t="str">
        <f>"04806894"</f>
        <v>04806894</v>
      </c>
      <c r="C54" s="2" t="s">
        <v>87</v>
      </c>
      <c r="D54" s="2" t="s">
        <v>88</v>
      </c>
      <c r="E54" s="4">
        <v>45230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</row>
    <row r="55" spans="1:38" s="15" customFormat="1" x14ac:dyDescent="0.25">
      <c r="A55" s="1" t="str">
        <f>"UK FREIGHT &amp; LOGISTICS LTD"</f>
        <v>UK FREIGHT &amp; LOGISTICS LTD</v>
      </c>
      <c r="B55" t="str">
        <f>"12813675"</f>
        <v>12813675</v>
      </c>
      <c r="C55" s="2" t="s">
        <v>87</v>
      </c>
      <c r="D55" s="2" t="s">
        <v>88</v>
      </c>
      <c r="E55" s="4">
        <v>45230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</row>
    <row r="56" spans="1:38" s="15" customFormat="1" x14ac:dyDescent="0.25">
      <c r="A56" s="1" t="str">
        <f>"GD CAD LIMITED"</f>
        <v>GD CAD LIMITED</v>
      </c>
      <c r="B56" t="str">
        <f>"12435431"</f>
        <v>12435431</v>
      </c>
      <c r="C56" s="2" t="s">
        <v>87</v>
      </c>
      <c r="D56" s="2" t="s">
        <v>88</v>
      </c>
      <c r="E56" s="4">
        <v>45230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spans="1:38" s="15" customFormat="1" x14ac:dyDescent="0.25">
      <c r="A57" s="1" t="s">
        <v>508</v>
      </c>
      <c r="B57">
        <v>10222353</v>
      </c>
      <c r="C57" s="2" t="s">
        <v>87</v>
      </c>
      <c r="D57" s="2" t="s">
        <v>88</v>
      </c>
      <c r="E57" s="4">
        <v>45231</v>
      </c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spans="1:38" s="15" customFormat="1" x14ac:dyDescent="0.25">
      <c r="A58" s="1" t="str">
        <f>"FIREAWAY TELFORD LIMITED"</f>
        <v>FIREAWAY TELFORD LIMITED</v>
      </c>
      <c r="B58" t="str">
        <f>"12972688"</f>
        <v>12972688</v>
      </c>
      <c r="C58" s="2" t="s">
        <v>87</v>
      </c>
      <c r="D58" s="2" t="s">
        <v>88</v>
      </c>
      <c r="E58" s="4">
        <v>45236</v>
      </c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 s="15" customFormat="1" x14ac:dyDescent="0.25">
      <c r="A59" s="1" t="str">
        <f>"LANCASHIRE GLASS REPLACEMENT LTD"</f>
        <v>LANCASHIRE GLASS REPLACEMENT LTD</v>
      </c>
      <c r="B59" t="str">
        <f>"12141752"</f>
        <v>12141752</v>
      </c>
      <c r="C59" s="2" t="s">
        <v>87</v>
      </c>
      <c r="D59" s="2" t="s">
        <v>88</v>
      </c>
      <c r="E59" s="4">
        <v>45236</v>
      </c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s="15" customFormat="1" x14ac:dyDescent="0.25">
      <c r="A60" s="1" t="str">
        <f>"MARIUSZ DUDA PLASTERING LTD"</f>
        <v>MARIUSZ DUDA PLASTERING LTD</v>
      </c>
      <c r="B60" t="str">
        <f>"11674788"</f>
        <v>11674788</v>
      </c>
      <c r="C60" s="2" t="s">
        <v>87</v>
      </c>
      <c r="D60" s="2" t="s">
        <v>88</v>
      </c>
      <c r="E60" s="4">
        <v>45237</v>
      </c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</row>
    <row r="61" spans="1:38" s="15" customFormat="1" x14ac:dyDescent="0.25">
      <c r="A61" s="1" t="str">
        <f>"MANOR FEST LIMITED"</f>
        <v>MANOR FEST LIMITED</v>
      </c>
      <c r="B61" t="str">
        <f>"12486609"</f>
        <v>12486609</v>
      </c>
      <c r="C61" s="2" t="s">
        <v>87</v>
      </c>
      <c r="D61" s="2" t="s">
        <v>88</v>
      </c>
      <c r="E61" s="4">
        <v>45237</v>
      </c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</row>
    <row r="62" spans="1:38" s="15" customFormat="1" x14ac:dyDescent="0.25">
      <c r="A62" s="1" t="str">
        <f>"GO ECO GLAZING LTD"</f>
        <v>GO ECO GLAZING LTD</v>
      </c>
      <c r="B62" t="str">
        <f>"13217960"</f>
        <v>13217960</v>
      </c>
      <c r="C62" s="2" t="s">
        <v>87</v>
      </c>
      <c r="D62" s="2" t="s">
        <v>88</v>
      </c>
      <c r="E62" s="4">
        <v>45238</v>
      </c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</row>
    <row r="63" spans="1:38" s="15" customFormat="1" x14ac:dyDescent="0.25">
      <c r="A63" s="1" t="str">
        <f>"HLADE CONSTRUCTION LTD"</f>
        <v>HLADE CONSTRUCTION LTD</v>
      </c>
      <c r="B63" t="str">
        <f>"13827321"</f>
        <v>13827321</v>
      </c>
      <c r="C63" s="2" t="s">
        <v>87</v>
      </c>
      <c r="D63" s="2" t="s">
        <v>88</v>
      </c>
      <c r="E63" s="4">
        <v>45238</v>
      </c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</row>
    <row r="64" spans="1:38" s="15" customFormat="1" x14ac:dyDescent="0.25">
      <c r="A64" s="1" t="str">
        <f>"S60 CAR SALES LIMITED"</f>
        <v>S60 CAR SALES LIMITED</v>
      </c>
      <c r="B64" t="str">
        <f>"12210975"</f>
        <v>12210975</v>
      </c>
      <c r="C64" s="2" t="s">
        <v>87</v>
      </c>
      <c r="D64" s="2" t="s">
        <v>88</v>
      </c>
      <c r="E64" s="4">
        <v>45239</v>
      </c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</row>
    <row r="65" spans="1:38" s="15" customFormat="1" x14ac:dyDescent="0.25">
      <c r="A65" s="1" t="str">
        <f>"OSHK LIMITED"</f>
        <v>OSHK LIMITED</v>
      </c>
      <c r="B65" t="str">
        <f>"09117181"</f>
        <v>09117181</v>
      </c>
      <c r="C65" s="2" t="s">
        <v>87</v>
      </c>
      <c r="D65" s="2" t="s">
        <v>88</v>
      </c>
      <c r="E65" s="4">
        <v>45240</v>
      </c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</row>
    <row r="66" spans="1:38" s="15" customFormat="1" x14ac:dyDescent="0.25">
      <c r="A66" s="1" t="str">
        <f>"NATIONAL COURIERS LIMITED"</f>
        <v>NATIONAL COURIERS LIMITED</v>
      </c>
      <c r="B66" t="str">
        <f>"11465778"</f>
        <v>11465778</v>
      </c>
      <c r="C66" s="2" t="s">
        <v>87</v>
      </c>
      <c r="D66" s="2" t="s">
        <v>88</v>
      </c>
      <c r="E66" s="4">
        <v>45240</v>
      </c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</row>
    <row r="67" spans="1:38" s="15" customFormat="1" x14ac:dyDescent="0.25">
      <c r="A67" s="1" t="str">
        <f>"WALTER &amp; RANDALL LIMITED"</f>
        <v>WALTER &amp; RANDALL LIMITED</v>
      </c>
      <c r="B67" t="str">
        <f>"03710651"</f>
        <v>03710651</v>
      </c>
      <c r="C67" s="2" t="s">
        <v>87</v>
      </c>
      <c r="D67" s="2" t="s">
        <v>88</v>
      </c>
      <c r="E67" s="4">
        <v>45240</v>
      </c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</row>
    <row r="68" spans="1:38" s="15" customFormat="1" x14ac:dyDescent="0.25">
      <c r="A68" s="1" t="str">
        <f>"EVA'S GRILL GR LTD"</f>
        <v>EVA'S GRILL GR LTD</v>
      </c>
      <c r="B68" t="str">
        <f>"14373664"</f>
        <v>14373664</v>
      </c>
      <c r="C68" s="2" t="s">
        <v>87</v>
      </c>
      <c r="D68" s="2" t="s">
        <v>88</v>
      </c>
      <c r="E68" s="4">
        <v>45243</v>
      </c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</row>
    <row r="69" spans="1:38" s="15" customFormat="1" x14ac:dyDescent="0.25">
      <c r="A69" s="1" t="str">
        <f>"EVOQUE SURFACING LTD"</f>
        <v>EVOQUE SURFACING LTD</v>
      </c>
      <c r="B69" t="str">
        <f>"09769458"</f>
        <v>09769458</v>
      </c>
      <c r="C69" s="2" t="s">
        <v>87</v>
      </c>
      <c r="D69" s="2" t="s">
        <v>88</v>
      </c>
      <c r="E69" s="4">
        <v>45243</v>
      </c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</row>
    <row r="70" spans="1:38" s="15" customFormat="1" x14ac:dyDescent="0.25">
      <c r="A70" s="1" t="str">
        <f>"JONES CIVILS &amp; GROUNDWORKS LTD"</f>
        <v>JONES CIVILS &amp; GROUNDWORKS LTD</v>
      </c>
      <c r="B70" t="str">
        <f>"11797556"</f>
        <v>11797556</v>
      </c>
      <c r="C70" s="2" t="s">
        <v>87</v>
      </c>
      <c r="D70" s="2" t="s">
        <v>88</v>
      </c>
      <c r="E70" s="4">
        <v>45244</v>
      </c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</row>
    <row r="71" spans="1:38" s="15" customFormat="1" x14ac:dyDescent="0.25">
      <c r="A71" s="1" t="str">
        <f>"JONES CONSTRUCTION (CHESHIRE) LTD"</f>
        <v>JONES CONSTRUCTION (CHESHIRE) LTD</v>
      </c>
      <c r="B71" t="str">
        <f>"10544478"</f>
        <v>10544478</v>
      </c>
      <c r="C71" s="2" t="s">
        <v>87</v>
      </c>
      <c r="D71" s="2" t="s">
        <v>88</v>
      </c>
      <c r="E71" s="4">
        <v>45244</v>
      </c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</row>
    <row r="72" spans="1:38" s="15" customFormat="1" x14ac:dyDescent="0.25">
      <c r="A72" s="1" t="str">
        <f>"CCCV UK LTD"</f>
        <v>CCCV UK LTD</v>
      </c>
      <c r="B72" t="str">
        <f>"08983561"</f>
        <v>08983561</v>
      </c>
      <c r="C72" s="2" t="s">
        <v>87</v>
      </c>
      <c r="D72" s="2" t="s">
        <v>88</v>
      </c>
      <c r="E72" s="4">
        <v>45244</v>
      </c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</row>
    <row r="73" spans="1:38" s="15" customFormat="1" x14ac:dyDescent="0.25">
      <c r="A73" s="1" t="str">
        <f>"UKJOBSINCARE LTD"</f>
        <v>UKJOBSINCARE LTD</v>
      </c>
      <c r="B73" t="str">
        <f>"10670803"</f>
        <v>10670803</v>
      </c>
      <c r="C73" s="2" t="s">
        <v>87</v>
      </c>
      <c r="D73" s="2" t="s">
        <v>88</v>
      </c>
      <c r="E73" s="4">
        <v>45245</v>
      </c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</row>
    <row r="74" spans="1:38" s="15" customFormat="1" x14ac:dyDescent="0.25">
      <c r="A74" s="1" t="str">
        <f>"LO RAPITENC LTD"</f>
        <v>LO RAPITENC LTD</v>
      </c>
      <c r="B74" t="str">
        <f>"13390970"</f>
        <v>13390970</v>
      </c>
      <c r="C74" s="2" t="s">
        <v>87</v>
      </c>
      <c r="D74" s="2" t="s">
        <v>88</v>
      </c>
      <c r="E74" s="4">
        <v>45246</v>
      </c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</row>
    <row r="75" spans="1:38" s="15" customFormat="1" x14ac:dyDescent="0.25">
      <c r="A75" s="1" t="str">
        <f>"GLIGOR LIMITED"</f>
        <v>GLIGOR LIMITED</v>
      </c>
      <c r="B75" t="str">
        <f>"11552105"</f>
        <v>11552105</v>
      </c>
      <c r="C75" s="2" t="s">
        <v>87</v>
      </c>
      <c r="D75" s="2" t="s">
        <v>88</v>
      </c>
      <c r="E75" s="4">
        <v>45246</v>
      </c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</row>
    <row r="76" spans="1:38" s="15" customFormat="1" x14ac:dyDescent="0.25">
      <c r="A76" s="1" t="str">
        <f>"HIGHVIEW BUILDING SERVICES (LONDON) LIMITED"</f>
        <v>HIGHVIEW BUILDING SERVICES (LONDON) LIMITED</v>
      </c>
      <c r="B76" t="str">
        <f>"02409193"</f>
        <v>02409193</v>
      </c>
      <c r="C76" s="2" t="s">
        <v>87</v>
      </c>
      <c r="D76" s="2" t="s">
        <v>88</v>
      </c>
      <c r="E76" s="4">
        <v>45247</v>
      </c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</row>
    <row r="77" spans="1:38" s="15" customFormat="1" x14ac:dyDescent="0.25">
      <c r="A77" s="1" t="s">
        <v>687</v>
      </c>
      <c r="B77">
        <v>9864513</v>
      </c>
      <c r="C77" s="2" t="s">
        <v>87</v>
      </c>
      <c r="D77" s="2" t="s">
        <v>88</v>
      </c>
      <c r="E77" s="4">
        <v>45247</v>
      </c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38" s="15" customFormat="1" x14ac:dyDescent="0.25">
      <c r="A78" s="1" t="s">
        <v>688</v>
      </c>
      <c r="B78">
        <v>4457569</v>
      </c>
      <c r="C78" s="2" t="s">
        <v>87</v>
      </c>
      <c r="D78" s="2" t="s">
        <v>88</v>
      </c>
      <c r="E78" s="4">
        <v>45247</v>
      </c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38" s="15" customFormat="1" x14ac:dyDescent="0.25">
      <c r="A79" s="1" t="s">
        <v>756</v>
      </c>
      <c r="B79">
        <v>10731779</v>
      </c>
      <c r="C79" s="2" t="s">
        <v>87</v>
      </c>
      <c r="D79" s="2" t="s">
        <v>88</v>
      </c>
      <c r="E79" s="4">
        <v>45247</v>
      </c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38" s="15" customFormat="1" x14ac:dyDescent="0.25">
      <c r="A80" s="1" t="s">
        <v>768</v>
      </c>
      <c r="B80" t="s">
        <v>769</v>
      </c>
      <c r="C80" s="2" t="s">
        <v>87</v>
      </c>
      <c r="D80" s="2" t="s">
        <v>88</v>
      </c>
      <c r="E80" s="4">
        <v>45250</v>
      </c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 s="15" customFormat="1" x14ac:dyDescent="0.25">
      <c r="A81" s="1" t="str">
        <f>"AISHWARYA PRICE BUSTER LIMITED"</f>
        <v>AISHWARYA PRICE BUSTER LIMITED</v>
      </c>
      <c r="B81" t="str">
        <f>"09936521"</f>
        <v>09936521</v>
      </c>
      <c r="C81" s="2" t="s">
        <v>87</v>
      </c>
      <c r="D81" s="2" t="s">
        <v>88</v>
      </c>
      <c r="E81" s="4">
        <v>45250</v>
      </c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 s="15" customFormat="1" x14ac:dyDescent="0.25">
      <c r="A82" s="1" t="str">
        <f>"FORMBY HAND CAR WASH LIMITED"</f>
        <v>FORMBY HAND CAR WASH LIMITED</v>
      </c>
      <c r="B82" t="str">
        <f>"11623135"</f>
        <v>11623135</v>
      </c>
      <c r="C82" s="2" t="s">
        <v>87</v>
      </c>
      <c r="D82" s="2" t="s">
        <v>88</v>
      </c>
      <c r="E82" s="4">
        <v>45251</v>
      </c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15" customFormat="1" x14ac:dyDescent="0.25">
      <c r="A83" s="1" t="str">
        <f>"PURPLE SUNSET LTD"</f>
        <v>PURPLE SUNSET LTD</v>
      </c>
      <c r="B83" t="str">
        <f>"08591139"</f>
        <v>08591139</v>
      </c>
      <c r="C83" s="2" t="s">
        <v>87</v>
      </c>
      <c r="D83" s="2" t="s">
        <v>88</v>
      </c>
      <c r="E83" s="4">
        <v>45251</v>
      </c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 s="15" customFormat="1" x14ac:dyDescent="0.25">
      <c r="A84" s="1" t="str">
        <f>"GO2 HEATING SOLUTIONS LTD"</f>
        <v>GO2 HEATING SOLUTIONS LTD</v>
      </c>
      <c r="B84" t="str">
        <f>"11255379"</f>
        <v>11255379</v>
      </c>
      <c r="C84" s="2" t="s">
        <v>87</v>
      </c>
      <c r="D84" s="2" t="s">
        <v>88</v>
      </c>
      <c r="E84" s="4">
        <v>45252</v>
      </c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 s="15" customFormat="1" x14ac:dyDescent="0.25">
      <c r="A85" s="1" t="str">
        <f>"BEIRUT LOUNGE NEWCASTLE LTD"</f>
        <v>BEIRUT LOUNGE NEWCASTLE LTD</v>
      </c>
      <c r="B85" t="str">
        <f>"11427233"</f>
        <v>11427233</v>
      </c>
      <c r="C85" s="2" t="s">
        <v>87</v>
      </c>
      <c r="D85" s="2" t="s">
        <v>88</v>
      </c>
      <c r="E85" s="4">
        <v>45252</v>
      </c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15" customFormat="1" x14ac:dyDescent="0.25">
      <c r="A86" s="1" t="str">
        <f>"CONVENIENCE LTD"</f>
        <v>CONVENIENCE LTD</v>
      </c>
      <c r="B86" t="str">
        <f>"11165889"</f>
        <v>11165889</v>
      </c>
      <c r="C86" s="2" t="s">
        <v>87</v>
      </c>
      <c r="D86" s="2" t="s">
        <v>88</v>
      </c>
      <c r="E86" s="4">
        <v>45252</v>
      </c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 s="15" customFormat="1" x14ac:dyDescent="0.25">
      <c r="A87" s="1" t="str">
        <f>"SC LEISURE 93 LTD"</f>
        <v>SC LEISURE 93 LTD</v>
      </c>
      <c r="B87" t="str">
        <f>"11530862"</f>
        <v>11530862</v>
      </c>
      <c r="C87" s="2" t="s">
        <v>87</v>
      </c>
      <c r="D87" s="2" t="s">
        <v>88</v>
      </c>
      <c r="E87" s="4">
        <v>45252</v>
      </c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 s="15" customFormat="1" x14ac:dyDescent="0.25">
      <c r="A88" s="1" t="str">
        <f>"TSWEI INC LTD"</f>
        <v>TSWEI INC LTD</v>
      </c>
      <c r="B88" t="str">
        <f>"11288524"</f>
        <v>11288524</v>
      </c>
      <c r="C88" s="2" t="s">
        <v>87</v>
      </c>
      <c r="D88" s="2" t="s">
        <v>88</v>
      </c>
      <c r="E88" s="4">
        <v>45254</v>
      </c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s="15" customFormat="1" x14ac:dyDescent="0.25">
      <c r="A89" s="1" t="str">
        <f>"HONEYWELL CONSTRUCTION SOUTH WEST LTD"</f>
        <v>HONEYWELL CONSTRUCTION SOUTH WEST LTD</v>
      </c>
      <c r="B89" t="str">
        <f>"11746953"</f>
        <v>11746953</v>
      </c>
      <c r="C89" s="2" t="s">
        <v>87</v>
      </c>
      <c r="D89" s="2" t="s">
        <v>88</v>
      </c>
      <c r="E89" s="4">
        <v>45254</v>
      </c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 s="15" customFormat="1" x14ac:dyDescent="0.25">
      <c r="A90" s="1" t="str">
        <f>"PRO-TIDY LIMITED"</f>
        <v>PRO-TIDY LIMITED</v>
      </c>
      <c r="B90" t="str">
        <f>"06997825"</f>
        <v>06997825</v>
      </c>
      <c r="C90" s="2" t="s">
        <v>87</v>
      </c>
      <c r="D90" s="2" t="s">
        <v>88</v>
      </c>
      <c r="E90" s="4">
        <v>45254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 s="15" customFormat="1" x14ac:dyDescent="0.25">
      <c r="A91" s="1" t="str">
        <f>"FAST WAVES LTD"</f>
        <v>FAST WAVES LTD</v>
      </c>
      <c r="B91" t="str">
        <f>"08936389"</f>
        <v>08936389</v>
      </c>
      <c r="C91" s="2" t="s">
        <v>87</v>
      </c>
      <c r="D91" s="2" t="s">
        <v>88</v>
      </c>
      <c r="E91" s="4">
        <v>45257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s="15" customFormat="1" x14ac:dyDescent="0.25">
      <c r="A92" s="1" t="str">
        <f>"VK'S RAIL LTD"</f>
        <v>VK'S RAIL LTD</v>
      </c>
      <c r="B92" t="str">
        <f>"10923533"</f>
        <v>10923533</v>
      </c>
      <c r="C92" s="2" t="s">
        <v>87</v>
      </c>
      <c r="D92" s="2" t="s">
        <v>88</v>
      </c>
      <c r="E92" s="4">
        <v>45257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 s="15" customFormat="1" x14ac:dyDescent="0.25">
      <c r="A93" s="1" t="str">
        <f>"MT BUILDING AND MAINTENANCE LIMITED"</f>
        <v>MT BUILDING AND MAINTENANCE LIMITED</v>
      </c>
      <c r="B93" t="str">
        <f>"09818278"</f>
        <v>09818278</v>
      </c>
      <c r="C93" s="2" t="s">
        <v>87</v>
      </c>
      <c r="D93" s="2" t="s">
        <v>88</v>
      </c>
      <c r="E93" s="4">
        <v>45257</v>
      </c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</row>
    <row r="94" spans="1:27" s="15" customFormat="1" x14ac:dyDescent="0.25">
      <c r="A94" s="1" t="str">
        <f>"DIAMOND DRIVEWAYS &amp; LANDSCAPES LTD"</f>
        <v>DIAMOND DRIVEWAYS &amp; LANDSCAPES LTD</v>
      </c>
      <c r="B94" t="str">
        <f>"08219904"</f>
        <v>08219904</v>
      </c>
      <c r="C94" s="2" t="s">
        <v>87</v>
      </c>
      <c r="D94" s="2" t="s">
        <v>88</v>
      </c>
      <c r="E94" s="4">
        <v>45258</v>
      </c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s="15" customFormat="1" x14ac:dyDescent="0.25">
      <c r="A95" s="1" t="str">
        <f>"WHITELOCKGROUP LTD"</f>
        <v>WHITELOCKGROUP LTD</v>
      </c>
      <c r="B95" t="str">
        <f>"13309081"</f>
        <v>13309081</v>
      </c>
      <c r="C95" s="2" t="s">
        <v>87</v>
      </c>
      <c r="D95" s="2" t="s">
        <v>88</v>
      </c>
      <c r="E95" s="4">
        <v>45258</v>
      </c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</row>
    <row r="96" spans="1:27" s="15" customFormat="1" x14ac:dyDescent="0.25">
      <c r="A96" s="1" t="s">
        <v>574</v>
      </c>
      <c r="B96">
        <v>11740138</v>
      </c>
      <c r="C96" s="2" t="s">
        <v>228</v>
      </c>
      <c r="D96" s="2" t="s">
        <v>229</v>
      </c>
      <c r="E96" s="4">
        <v>45230</v>
      </c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</row>
    <row r="97" spans="1:27" s="15" customFormat="1" x14ac:dyDescent="0.25">
      <c r="A97" s="1" t="str">
        <f>"ICM INTERIORS LTD"</f>
        <v>ICM INTERIORS LTD</v>
      </c>
      <c r="B97" t="str">
        <f>"09338250"</f>
        <v>09338250</v>
      </c>
      <c r="C97" s="2" t="s">
        <v>228</v>
      </c>
      <c r="D97" s="2" t="s">
        <v>229</v>
      </c>
      <c r="E97" s="4">
        <v>45231</v>
      </c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s="15" customFormat="1" x14ac:dyDescent="0.25">
      <c r="A98" s="1" t="str">
        <f>"MILLINGTON CONSTRUCTION LTD"</f>
        <v>MILLINGTON CONSTRUCTION LTD</v>
      </c>
      <c r="B98" t="str">
        <f>"13219368"</f>
        <v>13219368</v>
      </c>
      <c r="C98" s="2" t="s">
        <v>228</v>
      </c>
      <c r="D98" s="2" t="s">
        <v>229</v>
      </c>
      <c r="E98" s="4">
        <v>45237</v>
      </c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</row>
    <row r="99" spans="1:27" s="15" customFormat="1" x14ac:dyDescent="0.25">
      <c r="A99" s="1" t="str">
        <f>"LOAD2GO LIMITED"</f>
        <v>LOAD2GO LIMITED</v>
      </c>
      <c r="B99" t="str">
        <f>"12259726"</f>
        <v>12259726</v>
      </c>
      <c r="C99" s="2" t="s">
        <v>228</v>
      </c>
      <c r="D99" s="2" t="s">
        <v>229</v>
      </c>
      <c r="E99" s="4">
        <v>45240</v>
      </c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</row>
    <row r="100" spans="1:27" s="15" customFormat="1" x14ac:dyDescent="0.25">
      <c r="A100" s="1" t="str">
        <f>"MAMBO JAMBO LTD"</f>
        <v>MAMBO JAMBO LTD</v>
      </c>
      <c r="B100" t="str">
        <f>"03437672"</f>
        <v>03437672</v>
      </c>
      <c r="C100" s="2" t="s">
        <v>228</v>
      </c>
      <c r="D100" s="2" t="s">
        <v>229</v>
      </c>
      <c r="E100" s="4">
        <v>45243</v>
      </c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s="15" customFormat="1" x14ac:dyDescent="0.25">
      <c r="A101" s="1" t="s">
        <v>776</v>
      </c>
      <c r="B101" t="s">
        <v>777</v>
      </c>
      <c r="C101" s="2" t="s">
        <v>228</v>
      </c>
      <c r="D101" s="2" t="s">
        <v>229</v>
      </c>
      <c r="E101" s="4">
        <v>45250</v>
      </c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</row>
    <row r="102" spans="1:27" s="15" customFormat="1" x14ac:dyDescent="0.25">
      <c r="A102" s="1" t="str">
        <f>"GENERATOR &amp; ELECTRICAL SERVICES LTD"</f>
        <v>GENERATOR &amp; ELECTRICAL SERVICES LTD</v>
      </c>
      <c r="B102" t="str">
        <f>"10948068"</f>
        <v>10948068</v>
      </c>
      <c r="C102" s="2" t="s">
        <v>228</v>
      </c>
      <c r="D102" s="2" t="s">
        <v>229</v>
      </c>
      <c r="E102" s="4">
        <v>45251</v>
      </c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</row>
    <row r="103" spans="1:27" s="15" customFormat="1" x14ac:dyDescent="0.25">
      <c r="A103" s="1" t="s">
        <v>821</v>
      </c>
      <c r="B103">
        <v>9996096</v>
      </c>
      <c r="C103" s="2" t="s">
        <v>312</v>
      </c>
      <c r="D103" s="2" t="s">
        <v>313</v>
      </c>
      <c r="E103" s="4">
        <v>45253</v>
      </c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s="15" customFormat="1" x14ac:dyDescent="0.25">
      <c r="A104" s="1" t="str">
        <f>"VOHRA PROPERTIES LIMITED"</f>
        <v>VOHRA PROPERTIES LIMITED</v>
      </c>
      <c r="B104" t="str">
        <f>"12023211"</f>
        <v>12023211</v>
      </c>
      <c r="C104" s="2" t="s">
        <v>236</v>
      </c>
      <c r="D104" s="2" t="s">
        <v>140</v>
      </c>
      <c r="E104" s="4">
        <v>45244</v>
      </c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</row>
    <row r="105" spans="1:27" s="15" customFormat="1" x14ac:dyDescent="0.25">
      <c r="A105" s="1" t="str">
        <f>"MCELLIGOTT BUILDING LTD"</f>
        <v>MCELLIGOTT BUILDING LTD</v>
      </c>
      <c r="B105" t="str">
        <f>"06677086"</f>
        <v>06677086</v>
      </c>
      <c r="C105" s="2" t="s">
        <v>236</v>
      </c>
      <c r="D105" s="2" t="s">
        <v>140</v>
      </c>
      <c r="E105" s="4">
        <v>45245</v>
      </c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</row>
    <row r="106" spans="1:27" s="15" customFormat="1" x14ac:dyDescent="0.25">
      <c r="A106" s="1" t="str">
        <f>"JDS HOSPITALITY LIMITED"</f>
        <v>JDS HOSPITALITY LIMITED</v>
      </c>
      <c r="B106" t="str">
        <f>"11817978"</f>
        <v>11817978</v>
      </c>
      <c r="C106" s="2" t="s">
        <v>236</v>
      </c>
      <c r="D106" s="2" t="s">
        <v>140</v>
      </c>
      <c r="E106" s="4">
        <v>45245</v>
      </c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s="15" customFormat="1" x14ac:dyDescent="0.25">
      <c r="A107" s="1" t="s">
        <v>728</v>
      </c>
      <c r="B107" t="s">
        <v>729</v>
      </c>
      <c r="C107" s="2" t="s">
        <v>236</v>
      </c>
      <c r="D107" s="2" t="s">
        <v>140</v>
      </c>
      <c r="E107" s="4">
        <v>45246</v>
      </c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</row>
    <row r="108" spans="1:27" s="15" customFormat="1" x14ac:dyDescent="0.25">
      <c r="A108" s="1" t="str">
        <f>"GRASMERE CHOCOLATE COTTAGE LIMITED"</f>
        <v>GRASMERE CHOCOLATE COTTAGE LIMITED</v>
      </c>
      <c r="B108" t="str">
        <f>"09249662"</f>
        <v>09249662</v>
      </c>
      <c r="C108" s="2" t="s">
        <v>236</v>
      </c>
      <c r="D108" s="2" t="s">
        <v>140</v>
      </c>
      <c r="E108" s="4">
        <v>45246</v>
      </c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</row>
    <row r="109" spans="1:27" s="15" customFormat="1" x14ac:dyDescent="0.25">
      <c r="A109" s="1" t="str">
        <f>"AQUEOUS THERMO ENERGY SOLUTIONS LIMITED"</f>
        <v>AQUEOUS THERMO ENERGY SOLUTIONS LIMITED</v>
      </c>
      <c r="B109" t="str">
        <f>"10842639"</f>
        <v>10842639</v>
      </c>
      <c r="C109" s="2" t="s">
        <v>236</v>
      </c>
      <c r="D109" s="2" t="s">
        <v>140</v>
      </c>
      <c r="E109" s="4">
        <v>45251</v>
      </c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s="15" customFormat="1" x14ac:dyDescent="0.25">
      <c r="A110" s="1" t="str">
        <f>"S A ELLIS LIMITED"</f>
        <v>S A ELLIS LIMITED</v>
      </c>
      <c r="B110" t="str">
        <f>"10300637"</f>
        <v>10300637</v>
      </c>
      <c r="C110" s="2" t="s">
        <v>236</v>
      </c>
      <c r="D110" s="2" t="s">
        <v>140</v>
      </c>
      <c r="E110" s="4">
        <v>45253</v>
      </c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</row>
    <row r="111" spans="1:27" s="15" customFormat="1" x14ac:dyDescent="0.25">
      <c r="A111" s="1" t="s">
        <v>563</v>
      </c>
      <c r="B111">
        <v>12071281</v>
      </c>
      <c r="C111" s="2" t="s">
        <v>564</v>
      </c>
      <c r="D111" s="2" t="s">
        <v>243</v>
      </c>
      <c r="E111" s="4">
        <v>45226</v>
      </c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</row>
    <row r="112" spans="1:27" s="15" customFormat="1" x14ac:dyDescent="0.25">
      <c r="A112" s="1" t="str">
        <f>"RISE STRUCTURAL ENGINEERS LTD"</f>
        <v>RISE STRUCTURAL ENGINEERS LTD</v>
      </c>
      <c r="B112" t="str">
        <f>"07428479"</f>
        <v>07428479</v>
      </c>
      <c r="C112" s="2" t="s">
        <v>258</v>
      </c>
      <c r="D112" s="2" t="s">
        <v>102</v>
      </c>
      <c r="E112" s="4">
        <v>45239</v>
      </c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s="15" customFormat="1" x14ac:dyDescent="0.25">
      <c r="A113" s="1" t="str">
        <f>"MANT LEISURE LIMITED"</f>
        <v>MANT LEISURE LIMITED</v>
      </c>
      <c r="B113" t="str">
        <f>"11367583"</f>
        <v>11367583</v>
      </c>
      <c r="C113" s="2" t="s">
        <v>258</v>
      </c>
      <c r="D113" s="2" t="s">
        <v>102</v>
      </c>
      <c r="E113" s="4">
        <v>45246</v>
      </c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</row>
    <row r="114" spans="1:27" s="15" customFormat="1" x14ac:dyDescent="0.25">
      <c r="A114" s="1" t="str">
        <f>"PLATINUM CONTRACTS  LONDON LTD"</f>
        <v>PLATINUM CONTRACTS  LONDON LTD</v>
      </c>
      <c r="B114" t="str">
        <f>"08069003"</f>
        <v>08069003</v>
      </c>
      <c r="C114" s="2" t="s">
        <v>322</v>
      </c>
      <c r="D114" s="2" t="s">
        <v>37</v>
      </c>
      <c r="E114" s="4">
        <v>45257</v>
      </c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</row>
    <row r="115" spans="1:27" s="15" customFormat="1" x14ac:dyDescent="0.25">
      <c r="A115" s="1" t="str">
        <f>"CORE PM LIMITED"</f>
        <v>CORE PM LIMITED</v>
      </c>
      <c r="B115" t="str">
        <f>"06738257"</f>
        <v>06738257</v>
      </c>
      <c r="C115" s="2" t="s">
        <v>162</v>
      </c>
      <c r="D115" s="2" t="s">
        <v>7</v>
      </c>
      <c r="E115" s="4">
        <v>45230</v>
      </c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s="15" customFormat="1" x14ac:dyDescent="0.25">
      <c r="A116" s="1" t="str">
        <f>"A SMITH GT. BENTLEY LIMITED"</f>
        <v>A SMITH GT. BENTLEY LIMITED</v>
      </c>
      <c r="B116" t="str">
        <f>"03913920"</f>
        <v>03913920</v>
      </c>
      <c r="C116" s="2" t="s">
        <v>162</v>
      </c>
      <c r="D116" s="2" t="s">
        <v>7</v>
      </c>
      <c r="E116" s="4">
        <v>45232</v>
      </c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</row>
    <row r="117" spans="1:27" s="15" customFormat="1" x14ac:dyDescent="0.25">
      <c r="A117" s="1" t="str">
        <f>"A TEAM ENTERTAINMENT (UK) LTD"</f>
        <v>A TEAM ENTERTAINMENT (UK) LTD</v>
      </c>
      <c r="B117" t="str">
        <f>"06369191"</f>
        <v>06369191</v>
      </c>
      <c r="C117" s="2" t="s">
        <v>162</v>
      </c>
      <c r="D117" s="2" t="s">
        <v>7</v>
      </c>
      <c r="E117" s="4">
        <v>45233</v>
      </c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</row>
    <row r="118" spans="1:27" s="15" customFormat="1" x14ac:dyDescent="0.25">
      <c r="A118" s="1" t="str">
        <f>"MEATBOX DELIVERY LIMITED"</f>
        <v>MEATBOX DELIVERY LIMITED</v>
      </c>
      <c r="B118" t="str">
        <f>"13000946"</f>
        <v>13000946</v>
      </c>
      <c r="C118" s="2" t="s">
        <v>162</v>
      </c>
      <c r="D118" s="2" t="s">
        <v>7</v>
      </c>
      <c r="E118" s="4">
        <v>45239</v>
      </c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s="15" customFormat="1" x14ac:dyDescent="0.25">
      <c r="A119" s="1" t="str">
        <f>"THE LUSCIOUS GROUP LIMITED"</f>
        <v>THE LUSCIOUS GROUP LIMITED</v>
      </c>
      <c r="B119" t="str">
        <f>"10482720"</f>
        <v>10482720</v>
      </c>
      <c r="C119" s="2" t="s">
        <v>162</v>
      </c>
      <c r="D119" s="2" t="s">
        <v>7</v>
      </c>
      <c r="E119" s="4">
        <v>45245</v>
      </c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</row>
    <row r="120" spans="1:27" s="15" customFormat="1" x14ac:dyDescent="0.25">
      <c r="A120" s="1" t="str">
        <f>"THE PRINCE CONSORT LIMITED"</f>
        <v>THE PRINCE CONSORT LIMITED</v>
      </c>
      <c r="B120" t="str">
        <f>"03809536"</f>
        <v>03809536</v>
      </c>
      <c r="C120" s="2" t="s">
        <v>162</v>
      </c>
      <c r="D120" s="2" t="s">
        <v>7</v>
      </c>
      <c r="E120" s="4">
        <v>45246</v>
      </c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</row>
    <row r="121" spans="1:27" s="15" customFormat="1" x14ac:dyDescent="0.25">
      <c r="A121" s="1" t="s">
        <v>435</v>
      </c>
      <c r="B121">
        <v>8472931</v>
      </c>
      <c r="C121" s="2" t="s">
        <v>162</v>
      </c>
      <c r="D121" s="2" t="s">
        <v>163</v>
      </c>
      <c r="E121" s="4">
        <v>45226</v>
      </c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s="15" customFormat="1" x14ac:dyDescent="0.25">
      <c r="A122" s="1" t="str">
        <f>"AWCI LIMITED"</f>
        <v>AWCI LIMITED</v>
      </c>
      <c r="B122" t="str">
        <f>"08314033"</f>
        <v>08314033</v>
      </c>
      <c r="C122" s="2" t="s">
        <v>162</v>
      </c>
      <c r="D122" s="2" t="s">
        <v>163</v>
      </c>
      <c r="E122" s="4">
        <v>45233</v>
      </c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</row>
    <row r="123" spans="1:27" s="15" customFormat="1" x14ac:dyDescent="0.25">
      <c r="A123" s="1" t="str">
        <f>"GARL WINCHESTER LIMITED"</f>
        <v>GARL WINCHESTER LIMITED</v>
      </c>
      <c r="B123" t="str">
        <f>"13821685"</f>
        <v>13821685</v>
      </c>
      <c r="C123" s="2" t="s">
        <v>300</v>
      </c>
      <c r="D123" s="2" t="s">
        <v>301</v>
      </c>
      <c r="E123" s="4">
        <v>45218</v>
      </c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</row>
    <row r="124" spans="1:27" s="15" customFormat="1" x14ac:dyDescent="0.25">
      <c r="A124" s="1" t="str">
        <f>"ZEPHORIUM LTD"</f>
        <v>ZEPHORIUM LTD</v>
      </c>
      <c r="B124" t="str">
        <f>"09066126"</f>
        <v>09066126</v>
      </c>
      <c r="C124" s="2" t="s">
        <v>300</v>
      </c>
      <c r="D124" s="2" t="s">
        <v>301</v>
      </c>
      <c r="E124" s="4">
        <v>45223</v>
      </c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s="15" customFormat="1" x14ac:dyDescent="0.25">
      <c r="A125" s="1" t="str">
        <f>"D W A ARCHITECTS (LONDON) LIMITED"</f>
        <v>D W A ARCHITECTS (LONDON) LIMITED</v>
      </c>
      <c r="B125" t="str">
        <f>"03865070"</f>
        <v>03865070</v>
      </c>
      <c r="C125" s="2" t="s">
        <v>334</v>
      </c>
      <c r="D125" s="2" t="s">
        <v>34</v>
      </c>
      <c r="E125" s="4">
        <v>45239</v>
      </c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</row>
    <row r="126" spans="1:27" s="15" customFormat="1" x14ac:dyDescent="0.25">
      <c r="A126" s="1" t="s">
        <v>452</v>
      </c>
      <c r="B126">
        <v>9215268</v>
      </c>
      <c r="C126" s="2" t="s">
        <v>315</v>
      </c>
      <c r="D126" s="2" t="s">
        <v>7</v>
      </c>
      <c r="E126" s="4">
        <v>45230</v>
      </c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</row>
    <row r="127" spans="1:27" s="15" customFormat="1" x14ac:dyDescent="0.25">
      <c r="A127" s="1" t="str">
        <f>"SG HAIRDRESSERS LTD"</f>
        <v>SG HAIRDRESSERS LTD</v>
      </c>
      <c r="B127" t="str">
        <f>"12150217"</f>
        <v>12150217</v>
      </c>
      <c r="C127" s="2" t="s">
        <v>315</v>
      </c>
      <c r="D127" s="2" t="s">
        <v>7</v>
      </c>
      <c r="E127" s="4">
        <v>45232</v>
      </c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s="15" customFormat="1" x14ac:dyDescent="0.25">
      <c r="A128" s="1" t="str">
        <f>"THE MEATING ROOM (BERKHAMSTED) LTD"</f>
        <v>THE MEATING ROOM (BERKHAMSTED) LTD</v>
      </c>
      <c r="B128" t="str">
        <f>"11198310"</f>
        <v>11198310</v>
      </c>
      <c r="C128" s="2" t="s">
        <v>315</v>
      </c>
      <c r="D128" s="2" t="s">
        <v>7</v>
      </c>
      <c r="E128" s="4">
        <v>45245</v>
      </c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</row>
    <row r="129" spans="1:27" s="15" customFormat="1" x14ac:dyDescent="0.25">
      <c r="A129" s="1" t="str">
        <f>"MAKKAB LTD"</f>
        <v>MAKKAB LTD</v>
      </c>
      <c r="B129" t="str">
        <f>"10552649"</f>
        <v>10552649</v>
      </c>
      <c r="C129" s="2" t="s">
        <v>315</v>
      </c>
      <c r="D129" s="2" t="s">
        <v>7</v>
      </c>
      <c r="E129" s="4">
        <v>45246</v>
      </c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</row>
    <row r="130" spans="1:27" s="15" customFormat="1" x14ac:dyDescent="0.25">
      <c r="A130" s="1" t="str">
        <f>"EASTBROOK PRESTIGE LIMITED"</f>
        <v>EASTBROOK PRESTIGE LIMITED</v>
      </c>
      <c r="B130" t="str">
        <f>"11906843"</f>
        <v>11906843</v>
      </c>
      <c r="C130" s="2" t="s">
        <v>315</v>
      </c>
      <c r="D130" s="2" t="s">
        <v>7</v>
      </c>
      <c r="E130" s="4">
        <v>45247</v>
      </c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s="15" customFormat="1" x14ac:dyDescent="0.25">
      <c r="A131" s="1" t="str">
        <f>"PAPER &amp; PRESS LTD"</f>
        <v>PAPER &amp; PRESS LTD</v>
      </c>
      <c r="B131" t="str">
        <f>"11742931"</f>
        <v>11742931</v>
      </c>
      <c r="C131" s="2" t="s">
        <v>343</v>
      </c>
      <c r="D131" s="2" t="s">
        <v>63</v>
      </c>
      <c r="E131" s="4">
        <v>45251</v>
      </c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</row>
    <row r="132" spans="1:27" s="15" customFormat="1" x14ac:dyDescent="0.25">
      <c r="A132" s="1" t="str">
        <f>"WARRIOR WOMEN &amp; MEN CIC"</f>
        <v>WARRIOR WOMEN &amp; MEN CIC</v>
      </c>
      <c r="B132" t="str">
        <f>"12324235"</f>
        <v>12324235</v>
      </c>
      <c r="C132" s="2" t="s">
        <v>311</v>
      </c>
      <c r="D132" s="2" t="s">
        <v>295</v>
      </c>
      <c r="E132" s="4">
        <v>45257</v>
      </c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</row>
    <row r="133" spans="1:27" s="15" customFormat="1" x14ac:dyDescent="0.25">
      <c r="A133" s="1" t="str">
        <f>"MAFAVI VENTURES LTD"</f>
        <v>MAFAVI VENTURES LTD</v>
      </c>
      <c r="B133" t="str">
        <f>"10072562"</f>
        <v>10072562</v>
      </c>
      <c r="C133" s="2" t="s">
        <v>199</v>
      </c>
      <c r="D133" s="2" t="s">
        <v>11</v>
      </c>
      <c r="E133" s="4">
        <v>45251</v>
      </c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s="15" customFormat="1" x14ac:dyDescent="0.25">
      <c r="A134" s="1" t="str">
        <f>"SON LIMITED"</f>
        <v>SON LIMITED</v>
      </c>
      <c r="B134" t="str">
        <f>"10693104"</f>
        <v>10693104</v>
      </c>
      <c r="C134" s="2" t="s">
        <v>199</v>
      </c>
      <c r="D134" s="2" t="s">
        <v>7</v>
      </c>
      <c r="E134" s="4">
        <v>45237</v>
      </c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</row>
    <row r="135" spans="1:27" s="15" customFormat="1" x14ac:dyDescent="0.25">
      <c r="A135" s="1" t="s">
        <v>386</v>
      </c>
      <c r="B135">
        <v>12508890</v>
      </c>
      <c r="C135" s="2" t="s">
        <v>289</v>
      </c>
      <c r="D135" s="2" t="s">
        <v>7</v>
      </c>
      <c r="E135" s="4">
        <v>45229</v>
      </c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</row>
    <row r="136" spans="1:27" s="15" customFormat="1" x14ac:dyDescent="0.25">
      <c r="A136" s="1" t="str">
        <f>"GREEN LANTERN TRADES LIMITED"</f>
        <v>GREEN LANTERN TRADES LIMITED</v>
      </c>
      <c r="B136" t="str">
        <f>"11297635"</f>
        <v>11297635</v>
      </c>
      <c r="C136" s="2" t="s">
        <v>289</v>
      </c>
      <c r="D136" s="2" t="s">
        <v>7</v>
      </c>
      <c r="E136" s="4">
        <v>45252</v>
      </c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s="15" customFormat="1" x14ac:dyDescent="0.25">
      <c r="A137" s="1" t="str">
        <f>"FENTON NOBLE LTD"</f>
        <v>FENTON NOBLE LTD</v>
      </c>
      <c r="B137" t="str">
        <f>"10708527"</f>
        <v>10708527</v>
      </c>
      <c r="C137" s="2" t="s">
        <v>289</v>
      </c>
      <c r="D137" s="2" t="s">
        <v>7</v>
      </c>
      <c r="E137" s="4">
        <v>45252</v>
      </c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</row>
    <row r="138" spans="1:27" s="15" customFormat="1" x14ac:dyDescent="0.25">
      <c r="A138" s="1" t="s">
        <v>395</v>
      </c>
      <c r="B138">
        <v>10932868</v>
      </c>
      <c r="C138" s="2" t="s">
        <v>206</v>
      </c>
      <c r="D138" s="2" t="s">
        <v>207</v>
      </c>
      <c r="E138" s="4">
        <v>45224</v>
      </c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</row>
    <row r="139" spans="1:27" s="15" customFormat="1" x14ac:dyDescent="0.25">
      <c r="A139" s="1" t="str">
        <f>"UPW INDUSTRIAL APPLICATIONS LTD"</f>
        <v>UPW INDUSTRIAL APPLICATIONS LTD</v>
      </c>
      <c r="B139" t="str">
        <f>"02461213"</f>
        <v>02461213</v>
      </c>
      <c r="C139" s="2" t="s">
        <v>107</v>
      </c>
      <c r="D139" s="2" t="s">
        <v>108</v>
      </c>
      <c r="E139" s="4">
        <v>45154</v>
      </c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s="15" customFormat="1" x14ac:dyDescent="0.25">
      <c r="A140" s="1" t="s">
        <v>699</v>
      </c>
      <c r="B140" t="s">
        <v>700</v>
      </c>
      <c r="C140" s="2" t="s">
        <v>107</v>
      </c>
      <c r="D140" s="2" t="s">
        <v>108</v>
      </c>
      <c r="E140" s="4">
        <v>45169</v>
      </c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</row>
    <row r="141" spans="1:27" s="15" customFormat="1" x14ac:dyDescent="0.25">
      <c r="A141" s="1" t="s">
        <v>793</v>
      </c>
      <c r="B141">
        <v>11707596</v>
      </c>
      <c r="C141" s="2" t="s">
        <v>107</v>
      </c>
      <c r="D141" s="2" t="s">
        <v>108</v>
      </c>
      <c r="E141" s="4">
        <v>45190</v>
      </c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</row>
    <row r="142" spans="1:27" s="15" customFormat="1" x14ac:dyDescent="0.25">
      <c r="A142" s="1" t="s">
        <v>423</v>
      </c>
      <c r="B142">
        <v>9584049</v>
      </c>
      <c r="C142" s="2" t="s">
        <v>107</v>
      </c>
      <c r="D142" s="2" t="s">
        <v>108</v>
      </c>
      <c r="E142" s="4">
        <v>45224</v>
      </c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s="15" customFormat="1" x14ac:dyDescent="0.25">
      <c r="A143" s="1" t="str">
        <f>"WHYTELEAFE CAFE LTD"</f>
        <v>WHYTELEAFE CAFE LTD</v>
      </c>
      <c r="B143" t="str">
        <f>"12343418"</f>
        <v>12343418</v>
      </c>
      <c r="C143" s="2" t="s">
        <v>107</v>
      </c>
      <c r="D143" s="2" t="s">
        <v>108</v>
      </c>
      <c r="E143" s="4">
        <v>45224</v>
      </c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7" s="15" customFormat="1" x14ac:dyDescent="0.25">
      <c r="A144" s="1" t="str">
        <f>"PANNA CATERING LTD"</f>
        <v>PANNA CATERING LTD</v>
      </c>
      <c r="B144" t="str">
        <f>"09278263"</f>
        <v>09278263</v>
      </c>
      <c r="C144" s="2" t="s">
        <v>107</v>
      </c>
      <c r="D144" s="2" t="s">
        <v>108</v>
      </c>
      <c r="E144" s="4">
        <v>45226</v>
      </c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s="15" customFormat="1" x14ac:dyDescent="0.25">
      <c r="A145" s="1" t="str">
        <f>"MARTIN &amp; CONLEY LIMITED"</f>
        <v>MARTIN &amp; CONLEY LIMITED</v>
      </c>
      <c r="B145" t="str">
        <f>"09522181"</f>
        <v>09522181</v>
      </c>
      <c r="C145" s="2" t="s">
        <v>107</v>
      </c>
      <c r="D145" s="2" t="s">
        <v>108</v>
      </c>
      <c r="E145" s="4">
        <v>45246</v>
      </c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s="15" customFormat="1" x14ac:dyDescent="0.25">
      <c r="A146" s="1" t="s">
        <v>539</v>
      </c>
      <c r="B146">
        <v>12235387</v>
      </c>
      <c r="C146" s="2" t="s">
        <v>540</v>
      </c>
      <c r="D146" s="2" t="s">
        <v>135</v>
      </c>
      <c r="E146" s="4">
        <v>45197</v>
      </c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s="15" customFormat="1" x14ac:dyDescent="0.25">
      <c r="A147" s="1" t="str">
        <f>"ICG TECHNOLOGIES LTD"</f>
        <v>ICG TECHNOLOGIES LTD</v>
      </c>
      <c r="B147" t="str">
        <f>"10141523"</f>
        <v>10141523</v>
      </c>
      <c r="C147" s="2" t="s">
        <v>540</v>
      </c>
      <c r="D147" s="2" t="s">
        <v>135</v>
      </c>
      <c r="E147" s="4">
        <v>45238</v>
      </c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s="15" customFormat="1" x14ac:dyDescent="0.25">
      <c r="A148" s="1" t="str">
        <f>"NEMRUT RESTAURANT LTD"</f>
        <v>NEMRUT RESTAURANT LTD</v>
      </c>
      <c r="B148" t="str">
        <f>"11280725"</f>
        <v>11280725</v>
      </c>
      <c r="C148" s="2" t="s">
        <v>540</v>
      </c>
      <c r="D148" s="2" t="s">
        <v>135</v>
      </c>
      <c r="E148" s="4">
        <v>45238</v>
      </c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s="15" customFormat="1" x14ac:dyDescent="0.25">
      <c r="A149" s="1" t="str">
        <f>"WRENEW LTD"</f>
        <v>WRENEW LTD</v>
      </c>
      <c r="B149" t="str">
        <f>"10784674"</f>
        <v>10784674</v>
      </c>
      <c r="C149" s="2" t="s">
        <v>540</v>
      </c>
      <c r="D149" s="2" t="s">
        <v>135</v>
      </c>
      <c r="E149" s="4">
        <v>45238</v>
      </c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s="15" customFormat="1" x14ac:dyDescent="0.25">
      <c r="A150" s="1" t="str">
        <f>"ALP CAR WASH LTD"</f>
        <v>ALP CAR WASH LTD</v>
      </c>
      <c r="B150" t="str">
        <f>"13302760"</f>
        <v>13302760</v>
      </c>
      <c r="C150" s="2" t="s">
        <v>134</v>
      </c>
      <c r="D150" s="2" t="s">
        <v>135</v>
      </c>
      <c r="E150" s="4">
        <v>45250</v>
      </c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s="15" customFormat="1" x14ac:dyDescent="0.25">
      <c r="A151" s="1" t="str">
        <f>"BOSS PARTITIONING LIMITED"</f>
        <v>BOSS PARTITIONING LIMITED</v>
      </c>
      <c r="B151" t="str">
        <f>"09006989"</f>
        <v>09006989</v>
      </c>
      <c r="C151" s="2" t="s">
        <v>134</v>
      </c>
      <c r="D151" s="2" t="s">
        <v>135</v>
      </c>
      <c r="E151" s="4">
        <v>45250</v>
      </c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s="15" customFormat="1" x14ac:dyDescent="0.25">
      <c r="A152" s="1" t="str">
        <f>"HAIRDRESSING SALISBURY LIMITED"</f>
        <v>HAIRDRESSING SALISBURY LIMITED</v>
      </c>
      <c r="B152" t="str">
        <f>"07962087"</f>
        <v>07962087</v>
      </c>
      <c r="C152" s="2" t="s">
        <v>16</v>
      </c>
      <c r="D152" s="2" t="s">
        <v>17</v>
      </c>
      <c r="E152" s="4">
        <v>44918</v>
      </c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s="15" customFormat="1" x14ac:dyDescent="0.25">
      <c r="A153" s="1" t="str">
        <f>"DANCING BEE LIMITED"</f>
        <v>DANCING BEE LIMITED</v>
      </c>
      <c r="B153" t="str">
        <f>"03092011"</f>
        <v>03092011</v>
      </c>
      <c r="C153" s="2" t="s">
        <v>16</v>
      </c>
      <c r="D153" s="2" t="s">
        <v>17</v>
      </c>
      <c r="E153" s="4">
        <v>44923</v>
      </c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s="15" customFormat="1" x14ac:dyDescent="0.25">
      <c r="A154" s="1" t="str">
        <f>"THE COLLECTION DESIGNED BY IAN STUART LIMITED"</f>
        <v>THE COLLECTION DESIGNED BY IAN STUART LIMITED</v>
      </c>
      <c r="B154" t="str">
        <f>"04765298"</f>
        <v>04765298</v>
      </c>
      <c r="C154" s="2" t="s">
        <v>16</v>
      </c>
      <c r="D154" s="2" t="s">
        <v>17</v>
      </c>
      <c r="E154" s="4">
        <v>44923</v>
      </c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s="15" customFormat="1" x14ac:dyDescent="0.25">
      <c r="A155" s="1" t="str">
        <f>"TLSA INTERNATIONAL LIMITED"</f>
        <v>TLSA INTERNATIONAL LIMITED</v>
      </c>
      <c r="B155" t="str">
        <f>"06787059"</f>
        <v>06787059</v>
      </c>
      <c r="C155" s="2" t="s">
        <v>16</v>
      </c>
      <c r="D155" s="2" t="s">
        <v>17</v>
      </c>
      <c r="E155" s="4">
        <v>44923</v>
      </c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s="15" customFormat="1" x14ac:dyDescent="0.25">
      <c r="A156" s="1" t="str">
        <f>"MARGOLIS SILVER LIMITED"</f>
        <v>MARGOLIS SILVER LIMITED</v>
      </c>
      <c r="B156" t="str">
        <f>"06001860"</f>
        <v>06001860</v>
      </c>
      <c r="C156" s="2" t="s">
        <v>16</v>
      </c>
      <c r="D156" s="2" t="s">
        <v>17</v>
      </c>
      <c r="E156" s="4">
        <v>44923</v>
      </c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s="15" customFormat="1" x14ac:dyDescent="0.25">
      <c r="A157" s="1" t="str">
        <f>"CAB GLASS (BORDON) LIMITED"</f>
        <v>CAB GLASS (BORDON) LIMITED</v>
      </c>
      <c r="B157" t="str">
        <f>"02367189"</f>
        <v>02367189</v>
      </c>
      <c r="C157" s="2" t="s">
        <v>16</v>
      </c>
      <c r="D157" s="2" t="s">
        <v>17</v>
      </c>
      <c r="E157" s="4">
        <v>44924</v>
      </c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s="15" customFormat="1" x14ac:dyDescent="0.25">
      <c r="A158" s="1" t="str">
        <f>"MERIDIEN INTERIORS LTD"</f>
        <v>MERIDIEN INTERIORS LTD</v>
      </c>
      <c r="B158" t="str">
        <f>"08743804"</f>
        <v>08743804</v>
      </c>
      <c r="C158" s="2" t="s">
        <v>16</v>
      </c>
      <c r="D158" s="2" t="s">
        <v>17</v>
      </c>
      <c r="E158" s="4">
        <v>45233</v>
      </c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s="15" customFormat="1" x14ac:dyDescent="0.25">
      <c r="A159" s="1" t="str">
        <f>"MOULDED PLASTIC COMPONENTS LTD"</f>
        <v>MOULDED PLASTIC COMPONENTS LTD</v>
      </c>
      <c r="B159" t="str">
        <f>"04795793"</f>
        <v>04795793</v>
      </c>
      <c r="C159" s="2" t="s">
        <v>16</v>
      </c>
      <c r="D159" s="2" t="s">
        <v>17</v>
      </c>
      <c r="E159" s="4">
        <v>45244</v>
      </c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s="15" customFormat="1" x14ac:dyDescent="0.25">
      <c r="A160" s="1" t="s">
        <v>660</v>
      </c>
      <c r="B160">
        <v>10755210</v>
      </c>
      <c r="C160" s="2" t="s">
        <v>16</v>
      </c>
      <c r="D160" s="2" t="s">
        <v>17</v>
      </c>
      <c r="E160" s="4">
        <v>45244</v>
      </c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s="15" customFormat="1" x14ac:dyDescent="0.25">
      <c r="A161" s="1" t="str">
        <f>"BULBECK RETAIL LTD"</f>
        <v>BULBECK RETAIL LTD</v>
      </c>
      <c r="B161" t="str">
        <f>"11578383"</f>
        <v>11578383</v>
      </c>
      <c r="C161" s="2" t="s">
        <v>16</v>
      </c>
      <c r="D161" s="2" t="s">
        <v>17</v>
      </c>
      <c r="E161" s="4">
        <v>45252</v>
      </c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s="15" customFormat="1" x14ac:dyDescent="0.25">
      <c r="A162" s="1" t="s">
        <v>385</v>
      </c>
      <c r="B162">
        <v>11229813</v>
      </c>
      <c r="C162" s="2" t="s">
        <v>248</v>
      </c>
      <c r="D162" s="2" t="s">
        <v>249</v>
      </c>
      <c r="E162" s="4">
        <v>45216</v>
      </c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s="15" customFormat="1" x14ac:dyDescent="0.25">
      <c r="A163" s="1" t="str">
        <f>"GREENWING MOTOR COMPANY LIMITED"</f>
        <v>GREENWING MOTOR COMPANY LIMITED</v>
      </c>
      <c r="B163" t="str">
        <f>"06963627"</f>
        <v>06963627</v>
      </c>
      <c r="C163" s="2" t="s">
        <v>248</v>
      </c>
      <c r="D163" s="2" t="s">
        <v>249</v>
      </c>
      <c r="E163" s="4">
        <v>45233</v>
      </c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s="15" customFormat="1" x14ac:dyDescent="0.25">
      <c r="A164" s="1" t="str">
        <f>"AURORA DRY HIRE LIGHTING LTD"</f>
        <v>AURORA DRY HIRE LIGHTING LTD</v>
      </c>
      <c r="B164" t="str">
        <f>"06324573"</f>
        <v>06324573</v>
      </c>
      <c r="C164" s="2" t="s">
        <v>248</v>
      </c>
      <c r="D164" s="2" t="s">
        <v>249</v>
      </c>
      <c r="E164" s="4">
        <v>45239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s="15" customFormat="1" x14ac:dyDescent="0.25">
      <c r="A165" s="1" t="str">
        <f>"MTR ELECTRICAL LIMITED"</f>
        <v>MTR ELECTRICAL LIMITED</v>
      </c>
      <c r="B165" t="str">
        <f>"06174400"</f>
        <v>06174400</v>
      </c>
      <c r="C165" s="2" t="s">
        <v>248</v>
      </c>
      <c r="D165" s="2" t="s">
        <v>249</v>
      </c>
      <c r="E165" s="4">
        <v>45240</v>
      </c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s="15" customFormat="1" x14ac:dyDescent="0.25">
      <c r="A166" s="1" t="str">
        <f>"VOJON SWEET SENSATIONS LTD"</f>
        <v>VOJON SWEET SENSATIONS LTD</v>
      </c>
      <c r="B166" t="str">
        <f>"10411311"</f>
        <v>10411311</v>
      </c>
      <c r="C166" s="2" t="s">
        <v>248</v>
      </c>
      <c r="D166" s="2" t="s">
        <v>249</v>
      </c>
      <c r="E166" s="4">
        <v>45245</v>
      </c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s="15" customFormat="1" x14ac:dyDescent="0.25">
      <c r="A167" s="1" t="s">
        <v>828</v>
      </c>
      <c r="B167">
        <v>3743847</v>
      </c>
      <c r="C167" s="2" t="s">
        <v>248</v>
      </c>
      <c r="D167" s="2" t="s">
        <v>829</v>
      </c>
      <c r="E167" s="4">
        <v>45254</v>
      </c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s="15" customFormat="1" x14ac:dyDescent="0.25">
      <c r="A168" s="1" t="str">
        <f>"GREENWOODS PROPERTY LTD"</f>
        <v>GREENWOODS PROPERTY LTD</v>
      </c>
      <c r="B168" t="str">
        <f>"06699164"</f>
        <v>06699164</v>
      </c>
      <c r="C168" s="2" t="s">
        <v>6</v>
      </c>
      <c r="D168" s="2" t="s">
        <v>321</v>
      </c>
      <c r="E168" s="4">
        <v>45231</v>
      </c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s="15" customFormat="1" x14ac:dyDescent="0.25">
      <c r="A169" s="1" t="str">
        <f>"REACTOR15 LIMITED"</f>
        <v>REACTOR15 LIMITED</v>
      </c>
      <c r="B169" t="str">
        <f>"08212145"</f>
        <v>08212145</v>
      </c>
      <c r="C169" s="2" t="s">
        <v>6</v>
      </c>
      <c r="D169" s="2" t="s">
        <v>321</v>
      </c>
      <c r="E169" s="4">
        <v>45232</v>
      </c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s="15" customFormat="1" x14ac:dyDescent="0.25">
      <c r="A170" s="1" t="str">
        <f>"COMBE DOWN (BATH) DEVELOPMENTS LIMITED"</f>
        <v>COMBE DOWN (BATH) DEVELOPMENTS LIMITED</v>
      </c>
      <c r="B170" t="str">
        <f>"10907573"</f>
        <v>10907573</v>
      </c>
      <c r="C170" s="2" t="s">
        <v>6</v>
      </c>
      <c r="D170" s="2" t="s">
        <v>321</v>
      </c>
      <c r="E170" s="4">
        <v>45252</v>
      </c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s="15" customFormat="1" x14ac:dyDescent="0.25">
      <c r="A171" s="1" t="str">
        <f>"C ENTERPRISE (UK) LIMITED"</f>
        <v>C ENTERPRISE (UK) LIMITED</v>
      </c>
      <c r="B171" t="str">
        <f>"05761846"</f>
        <v>05761846</v>
      </c>
      <c r="C171" s="2" t="s">
        <v>6</v>
      </c>
      <c r="D171" s="2" t="s">
        <v>321</v>
      </c>
      <c r="E171" s="4">
        <v>45252</v>
      </c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s="15" customFormat="1" x14ac:dyDescent="0.25">
      <c r="A172" s="1" t="str">
        <f>"THE SANDWICH SHACK LIMITED"</f>
        <v>THE SANDWICH SHACK LIMITED</v>
      </c>
      <c r="B172" t="str">
        <f>"13642100"</f>
        <v>13642100</v>
      </c>
      <c r="C172" s="2" t="s">
        <v>6</v>
      </c>
      <c r="D172" s="2" t="s">
        <v>11</v>
      </c>
      <c r="E172" s="4">
        <v>45231</v>
      </c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s="15" customFormat="1" x14ac:dyDescent="0.25">
      <c r="A173" s="1" t="str">
        <f>"K A PENSTOWE LIMITED"</f>
        <v>K A PENSTOWE LIMITED</v>
      </c>
      <c r="B173" t="str">
        <f>"13841244"</f>
        <v>13841244</v>
      </c>
      <c r="C173" s="2" t="s">
        <v>6</v>
      </c>
      <c r="D173" s="2" t="s">
        <v>11</v>
      </c>
      <c r="E173" s="4">
        <v>45231</v>
      </c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s="15" customFormat="1" x14ac:dyDescent="0.25">
      <c r="A174" s="1" t="str">
        <f>"BLEU SKY SOLUTIONS LTD"</f>
        <v>BLEU SKY SOLUTIONS LTD</v>
      </c>
      <c r="B174" t="str">
        <f>"11041572"</f>
        <v>11041572</v>
      </c>
      <c r="C174" s="2" t="s">
        <v>6</v>
      </c>
      <c r="D174" s="2" t="s">
        <v>11</v>
      </c>
      <c r="E174" s="4">
        <v>45231</v>
      </c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s="15" customFormat="1" x14ac:dyDescent="0.25">
      <c r="A175" s="1" t="str">
        <f>"CP &amp; SB FITTING LIMITED"</f>
        <v>CP &amp; SB FITTING LIMITED</v>
      </c>
      <c r="B175" t="str">
        <f>"09419554"</f>
        <v>09419554</v>
      </c>
      <c r="C175" s="2" t="s">
        <v>6</v>
      </c>
      <c r="D175" s="2" t="s">
        <v>11</v>
      </c>
      <c r="E175" s="4">
        <v>45237</v>
      </c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s="15" customFormat="1" x14ac:dyDescent="0.25">
      <c r="A176" s="1" t="str">
        <f>"GRAYSCOURT LIMITED"</f>
        <v>GRAYSCOURT LIMITED</v>
      </c>
      <c r="B176" t="str">
        <f>"11533871"</f>
        <v>11533871</v>
      </c>
      <c r="C176" s="2" t="s">
        <v>6</v>
      </c>
      <c r="D176" s="2" t="s">
        <v>11</v>
      </c>
      <c r="E176" s="4">
        <v>45238</v>
      </c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s="15" customFormat="1" x14ac:dyDescent="0.25">
      <c r="A177" s="1" t="str">
        <f>"THEALLTHINGSFURNITURE CO LTD"</f>
        <v>THEALLTHINGSFURNITURE CO LTD</v>
      </c>
      <c r="B177" t="str">
        <f>"09413798"</f>
        <v>09413798</v>
      </c>
      <c r="C177" s="2" t="s">
        <v>6</v>
      </c>
      <c r="D177" s="2" t="s">
        <v>11</v>
      </c>
      <c r="E177" s="4">
        <v>45245</v>
      </c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s="15" customFormat="1" x14ac:dyDescent="0.25">
      <c r="A178" s="1" t="str">
        <f>"JN EKAM CARPENTRY LTD"</f>
        <v>JN EKAM CARPENTRY LTD</v>
      </c>
      <c r="B178" t="str">
        <f>"08901506"</f>
        <v>08901506</v>
      </c>
      <c r="C178" s="2" t="s">
        <v>6</v>
      </c>
      <c r="D178" s="2" t="s">
        <v>11</v>
      </c>
      <c r="E178" s="4">
        <v>45250</v>
      </c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s="15" customFormat="1" x14ac:dyDescent="0.25">
      <c r="A179" s="1" t="str">
        <f>"HOME DELIVERY SPECIALISTS UK LTD"</f>
        <v>HOME DELIVERY SPECIALISTS UK LTD</v>
      </c>
      <c r="B179" t="str">
        <f>"14232335"</f>
        <v>14232335</v>
      </c>
      <c r="C179" s="2" t="s">
        <v>6</v>
      </c>
      <c r="D179" s="2" t="s">
        <v>11</v>
      </c>
      <c r="E179" s="4">
        <v>45251</v>
      </c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s="15" customFormat="1" x14ac:dyDescent="0.25">
      <c r="A180" s="1" t="str">
        <f>"JK TRANSPORT (MIDLANDS) LTD"</f>
        <v>JK TRANSPORT (MIDLANDS) LTD</v>
      </c>
      <c r="B180" t="str">
        <f>"07941888"</f>
        <v>07941888</v>
      </c>
      <c r="C180" s="2" t="s">
        <v>6</v>
      </c>
      <c r="D180" s="2" t="s">
        <v>11</v>
      </c>
      <c r="E180" s="4">
        <v>45251</v>
      </c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s="15" customFormat="1" x14ac:dyDescent="0.25">
      <c r="A181" s="1" t="str">
        <f>"FRANK MOTORS LTD"</f>
        <v>FRANK MOTORS LTD</v>
      </c>
      <c r="B181" t="str">
        <f>"11668228"</f>
        <v>11668228</v>
      </c>
      <c r="C181" s="2" t="s">
        <v>6</v>
      </c>
      <c r="D181" s="2" t="s">
        <v>11</v>
      </c>
      <c r="E181" s="4">
        <v>45252</v>
      </c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s="15" customFormat="1" x14ac:dyDescent="0.25">
      <c r="A182" s="1" t="str">
        <f>"CLOSS AND HAMBLIN EASTBOURNE LTD"</f>
        <v>CLOSS AND HAMBLIN EASTBOURNE LTD</v>
      </c>
      <c r="B182" t="str">
        <f>"12814884"</f>
        <v>12814884</v>
      </c>
      <c r="C182" s="2" t="s">
        <v>6</v>
      </c>
      <c r="D182" s="2" t="s">
        <v>120</v>
      </c>
      <c r="E182" s="4">
        <v>45229</v>
      </c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s="15" customFormat="1" x14ac:dyDescent="0.25">
      <c r="A183" s="1" t="str">
        <f>"ILLUMINATI VODKA LTD"</f>
        <v>ILLUMINATI VODKA LTD</v>
      </c>
      <c r="B183" t="str">
        <f>"12701746"</f>
        <v>12701746</v>
      </c>
      <c r="C183" s="2" t="s">
        <v>6</v>
      </c>
      <c r="D183" s="2" t="s">
        <v>120</v>
      </c>
      <c r="E183" s="4">
        <v>45230</v>
      </c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s="15" customFormat="1" x14ac:dyDescent="0.25">
      <c r="A184" s="1" t="str">
        <f>"UNLIMITED DESIGN AND CONSTRUCTION LIMITED"</f>
        <v>UNLIMITED DESIGN AND CONSTRUCTION LIMITED</v>
      </c>
      <c r="B184" t="str">
        <f>"08389846"</f>
        <v>08389846</v>
      </c>
      <c r="C184" s="2" t="s">
        <v>6</v>
      </c>
      <c r="D184" s="2" t="s">
        <v>120</v>
      </c>
      <c r="E184" s="4">
        <v>45232</v>
      </c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s="15" customFormat="1" x14ac:dyDescent="0.25">
      <c r="A185" s="1" t="str">
        <f>"SNWORC LTD"</f>
        <v>SNWORC LTD</v>
      </c>
      <c r="B185" t="str">
        <f>"12422240"</f>
        <v>12422240</v>
      </c>
      <c r="C185" s="2" t="s">
        <v>6</v>
      </c>
      <c r="D185" s="2" t="s">
        <v>120</v>
      </c>
      <c r="E185" s="4">
        <v>45233</v>
      </c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s="15" customFormat="1" x14ac:dyDescent="0.25">
      <c r="A186" s="1" t="str">
        <f>"YOGA EXPLORERS LIMITED"</f>
        <v>YOGA EXPLORERS LIMITED</v>
      </c>
      <c r="B186" t="str">
        <f>"07820490"</f>
        <v>07820490</v>
      </c>
      <c r="C186" s="2" t="s">
        <v>6</v>
      </c>
      <c r="D186" s="2" t="s">
        <v>120</v>
      </c>
      <c r="E186" s="4">
        <v>45238</v>
      </c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s="15" customFormat="1" x14ac:dyDescent="0.25">
      <c r="A187" s="1" t="s">
        <v>837</v>
      </c>
      <c r="B187">
        <v>10422417</v>
      </c>
      <c r="C187" s="2" t="s">
        <v>6</v>
      </c>
      <c r="D187" s="2" t="s">
        <v>120</v>
      </c>
      <c r="E187" s="4">
        <v>45251</v>
      </c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s="15" customFormat="1" x14ac:dyDescent="0.25">
      <c r="A188" s="1" t="str">
        <f>"MANGO MOTORSPORT LTD"</f>
        <v>MANGO MOTORSPORT LTD</v>
      </c>
      <c r="B188" t="str">
        <f>"10497130"</f>
        <v>10497130</v>
      </c>
      <c r="C188" s="2" t="s">
        <v>6</v>
      </c>
      <c r="D188" s="2" t="s">
        <v>120</v>
      </c>
      <c r="E188" s="4">
        <v>45251</v>
      </c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s="15" customFormat="1" x14ac:dyDescent="0.25">
      <c r="A189" s="1" t="str">
        <f>"PIPER WHITLOCK ARCHITECTURE LIMITED"</f>
        <v>PIPER WHITLOCK ARCHITECTURE LIMITED</v>
      </c>
      <c r="B189" t="str">
        <f>"07038293"</f>
        <v>07038293</v>
      </c>
      <c r="C189" s="2" t="s">
        <v>6</v>
      </c>
      <c r="D189" s="2" t="s">
        <v>120</v>
      </c>
      <c r="E189" s="4">
        <v>45251</v>
      </c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s="15" customFormat="1" x14ac:dyDescent="0.25">
      <c r="A190" s="1" t="str">
        <f>"BUILDING ADDITIONS LIMITED"</f>
        <v>BUILDING ADDITIONS LIMITED</v>
      </c>
      <c r="B190" t="str">
        <f>"03369691"</f>
        <v>03369691</v>
      </c>
      <c r="C190" s="2" t="s">
        <v>6</v>
      </c>
      <c r="D190" s="2" t="s">
        <v>37</v>
      </c>
      <c r="E190" s="4">
        <v>45230</v>
      </c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s="15" customFormat="1" x14ac:dyDescent="0.25">
      <c r="A191" s="1" t="str">
        <f>"OBSIDIAN CONSTRUCTION (SW) LTD"</f>
        <v>OBSIDIAN CONSTRUCTION (SW) LTD</v>
      </c>
      <c r="B191" t="str">
        <f>"14036692"</f>
        <v>14036692</v>
      </c>
      <c r="C191" s="2" t="s">
        <v>6</v>
      </c>
      <c r="D191" s="2" t="s">
        <v>37</v>
      </c>
      <c r="E191" s="4">
        <v>45250</v>
      </c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s="15" customFormat="1" x14ac:dyDescent="0.25">
      <c r="A192" s="1" t="str">
        <f>"LINDLEY INTERNATIONAL LTD"</f>
        <v>LINDLEY INTERNATIONAL LTD</v>
      </c>
      <c r="B192" t="str">
        <f>"11821280"</f>
        <v>11821280</v>
      </c>
      <c r="C192" s="2" t="s">
        <v>6</v>
      </c>
      <c r="D192" s="2" t="s">
        <v>164</v>
      </c>
      <c r="E192" s="4">
        <v>45238</v>
      </c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s="15" customFormat="1" x14ac:dyDescent="0.25">
      <c r="A193" s="1" t="s">
        <v>624</v>
      </c>
      <c r="B193">
        <v>8264896</v>
      </c>
      <c r="C193" s="2" t="s">
        <v>6</v>
      </c>
      <c r="D193" s="2" t="s">
        <v>243</v>
      </c>
      <c r="E193" s="4">
        <v>45244</v>
      </c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s="15" customFormat="1" x14ac:dyDescent="0.25">
      <c r="A194" s="1" t="s">
        <v>623</v>
      </c>
      <c r="B194">
        <v>12291975</v>
      </c>
      <c r="C194" s="2" t="s">
        <v>6</v>
      </c>
      <c r="D194" s="2" t="s">
        <v>243</v>
      </c>
      <c r="E194" s="4">
        <v>45246</v>
      </c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s="15" customFormat="1" x14ac:dyDescent="0.25">
      <c r="A195" s="1" t="s">
        <v>712</v>
      </c>
      <c r="B195" t="s">
        <v>713</v>
      </c>
      <c r="C195" s="2" t="s">
        <v>6</v>
      </c>
      <c r="D195" s="2" t="s">
        <v>247</v>
      </c>
      <c r="E195" s="4">
        <v>45244</v>
      </c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s="15" customFormat="1" x14ac:dyDescent="0.25">
      <c r="A196" s="1" t="str">
        <f>"SHEPHERD CONSTRUCT (COLCHESTER) LIMITED"</f>
        <v>SHEPHERD CONSTRUCT (COLCHESTER) LIMITED</v>
      </c>
      <c r="B196" t="str">
        <f>"07514201"</f>
        <v>07514201</v>
      </c>
      <c r="C196" s="2" t="s">
        <v>6</v>
      </c>
      <c r="D196" s="2" t="s">
        <v>241</v>
      </c>
      <c r="E196" s="4">
        <v>45232</v>
      </c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s="15" customFormat="1" x14ac:dyDescent="0.25">
      <c r="A197" s="1" t="str">
        <f>"BIG PLASTICS LIMITED"</f>
        <v>BIG PLASTICS LIMITED</v>
      </c>
      <c r="B197" t="str">
        <f>"10927831"</f>
        <v>10927831</v>
      </c>
      <c r="C197" s="2" t="s">
        <v>6</v>
      </c>
      <c r="D197" s="2" t="s">
        <v>241</v>
      </c>
      <c r="E197" s="4">
        <v>45237</v>
      </c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s="15" customFormat="1" x14ac:dyDescent="0.25">
      <c r="A198" s="1" t="str">
        <f>"A.G.N.E.S. DAY NURSERY"</f>
        <v>A.G.N.E.S. DAY NURSERY</v>
      </c>
      <c r="B198" t="str">
        <f>"05719325"</f>
        <v>05719325</v>
      </c>
      <c r="C198" s="2" t="s">
        <v>6</v>
      </c>
      <c r="D198" s="2" t="s">
        <v>241</v>
      </c>
      <c r="E198" s="4">
        <v>45237</v>
      </c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s="15" customFormat="1" x14ac:dyDescent="0.25">
      <c r="A199" s="1" t="str">
        <f>"GRIMWOOD &amp; CO LTD"</f>
        <v>GRIMWOOD &amp; CO LTD</v>
      </c>
      <c r="B199" t="str">
        <f>"10119776"</f>
        <v>10119776</v>
      </c>
      <c r="C199" s="2" t="s">
        <v>6</v>
      </c>
      <c r="D199" s="2" t="s">
        <v>241</v>
      </c>
      <c r="E199" s="4">
        <v>45244</v>
      </c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s="15" customFormat="1" x14ac:dyDescent="0.25">
      <c r="A200" s="1" t="s">
        <v>664</v>
      </c>
      <c r="B200">
        <v>9516282</v>
      </c>
      <c r="C200" s="2" t="s">
        <v>6</v>
      </c>
      <c r="D200" s="2" t="s">
        <v>241</v>
      </c>
      <c r="E200" s="4">
        <v>45246</v>
      </c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  <row r="201" spans="1:26" s="15" customFormat="1" x14ac:dyDescent="0.25">
      <c r="A201" s="1" t="str">
        <f>"STEVE ROBINSON GLASS LIMITED"</f>
        <v>STEVE ROBINSON GLASS LIMITED</v>
      </c>
      <c r="B201" t="str">
        <f>"04377725"</f>
        <v>04377725</v>
      </c>
      <c r="C201" s="2" t="s">
        <v>6</v>
      </c>
      <c r="D201" s="2" t="s">
        <v>75</v>
      </c>
      <c r="E201" s="4">
        <v>45243</v>
      </c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</row>
    <row r="202" spans="1:26" s="15" customFormat="1" x14ac:dyDescent="0.25">
      <c r="A202" s="1" t="s">
        <v>726</v>
      </c>
      <c r="B202">
        <v>12515643</v>
      </c>
      <c r="C202" s="2" t="s">
        <v>6</v>
      </c>
      <c r="D202" s="2" t="s">
        <v>75</v>
      </c>
      <c r="E202" s="4">
        <v>45251</v>
      </c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</row>
    <row r="203" spans="1:26" s="15" customFormat="1" x14ac:dyDescent="0.25">
      <c r="A203" s="1" t="s">
        <v>818</v>
      </c>
      <c r="B203">
        <v>10600458</v>
      </c>
      <c r="C203" s="2" t="s">
        <v>6</v>
      </c>
      <c r="D203" s="2" t="s">
        <v>75</v>
      </c>
      <c r="E203" s="4">
        <v>45252</v>
      </c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</row>
    <row r="204" spans="1:26" s="15" customFormat="1" x14ac:dyDescent="0.25">
      <c r="A204" s="1" t="str">
        <f>"SUNNINGHOME LIMITED"</f>
        <v>SUNNINGHOME LIMITED</v>
      </c>
      <c r="B204" t="str">
        <f>"04363471"</f>
        <v>04363471</v>
      </c>
      <c r="C204" s="2" t="s">
        <v>6</v>
      </c>
      <c r="D204" s="2" t="s">
        <v>272</v>
      </c>
      <c r="E204" s="4">
        <v>45237</v>
      </c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</row>
    <row r="205" spans="1:26" s="15" customFormat="1" x14ac:dyDescent="0.25">
      <c r="A205" s="1" t="str">
        <f>"MANGO PAVING &amp; LANDSCAPING LTD"</f>
        <v>MANGO PAVING &amp; LANDSCAPING LTD</v>
      </c>
      <c r="B205" t="str">
        <f>"09147728"</f>
        <v>09147728</v>
      </c>
      <c r="C205" s="2" t="s">
        <v>6</v>
      </c>
      <c r="D205" s="2" t="s">
        <v>272</v>
      </c>
      <c r="E205" s="4">
        <v>45238</v>
      </c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</row>
    <row r="206" spans="1:26" s="15" customFormat="1" x14ac:dyDescent="0.25">
      <c r="A206" s="1" t="str">
        <f>"KKC GROUP LIMITED"</f>
        <v>KKC GROUP LIMITED</v>
      </c>
      <c r="B206" t="str">
        <f>"05958178"</f>
        <v>05958178</v>
      </c>
      <c r="C206" s="2" t="s">
        <v>6</v>
      </c>
      <c r="D206" s="2" t="s">
        <v>34</v>
      </c>
      <c r="E206" s="4">
        <v>45229</v>
      </c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</row>
    <row r="207" spans="1:26" s="15" customFormat="1" x14ac:dyDescent="0.25">
      <c r="A207" s="1" t="str">
        <f>"WINTER PRODUCTS (UK) LIMITED"</f>
        <v>WINTER PRODUCTS (UK) LIMITED</v>
      </c>
      <c r="B207" t="str">
        <f>"07775762"</f>
        <v>07775762</v>
      </c>
      <c r="C207" s="2" t="s">
        <v>6</v>
      </c>
      <c r="D207" s="2" t="s">
        <v>34</v>
      </c>
      <c r="E207" s="4">
        <v>45232</v>
      </c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</row>
    <row r="208" spans="1:26" s="15" customFormat="1" x14ac:dyDescent="0.25">
      <c r="A208" s="1" t="s">
        <v>406</v>
      </c>
      <c r="B208">
        <v>3045046</v>
      </c>
      <c r="C208" s="2" t="s">
        <v>6</v>
      </c>
      <c r="D208" s="2" t="s">
        <v>71</v>
      </c>
      <c r="E208" s="4">
        <v>45224</v>
      </c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</row>
    <row r="209" spans="1:26" s="15" customFormat="1" x14ac:dyDescent="0.25">
      <c r="A209" s="1" t="s">
        <v>436</v>
      </c>
      <c r="B209">
        <v>8802725</v>
      </c>
      <c r="C209" s="2" t="s">
        <v>6</v>
      </c>
      <c r="D209" s="2" t="s">
        <v>71</v>
      </c>
      <c r="E209" s="4">
        <v>45225</v>
      </c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</row>
    <row r="210" spans="1:26" s="15" customFormat="1" x14ac:dyDescent="0.25">
      <c r="A210" s="1" t="str">
        <f>"PREMIERSHIP SUPPLIES LIMITED"</f>
        <v>PREMIERSHIP SUPPLIES LIMITED</v>
      </c>
      <c r="B210" t="str">
        <f>"11594499"</f>
        <v>11594499</v>
      </c>
      <c r="C210" s="2" t="s">
        <v>6</v>
      </c>
      <c r="D210" s="2" t="s">
        <v>71</v>
      </c>
      <c r="E210" s="4">
        <v>45232</v>
      </c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</row>
    <row r="211" spans="1:26" s="15" customFormat="1" x14ac:dyDescent="0.25">
      <c r="A211" s="1" t="str">
        <f>"MATCH CLOTHING LIMITED"</f>
        <v>MATCH CLOTHING LIMITED</v>
      </c>
      <c r="B211" t="str">
        <f>"04900002"</f>
        <v>04900002</v>
      </c>
      <c r="C211" s="2" t="s">
        <v>6</v>
      </c>
      <c r="D211" s="2" t="s">
        <v>71</v>
      </c>
      <c r="E211" s="4">
        <v>45237</v>
      </c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</row>
    <row r="212" spans="1:26" s="15" customFormat="1" x14ac:dyDescent="0.25">
      <c r="A212" s="1" t="s">
        <v>482</v>
      </c>
      <c r="B212">
        <v>8798616</v>
      </c>
      <c r="C212" s="2" t="s">
        <v>6</v>
      </c>
      <c r="D212" s="2" t="s">
        <v>31</v>
      </c>
      <c r="E212" s="4">
        <v>45225</v>
      </c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</row>
    <row r="213" spans="1:26" s="15" customFormat="1" x14ac:dyDescent="0.25">
      <c r="A213" s="1" t="str">
        <f>"LONDON OYSTER COMPANY LIMITED"</f>
        <v>LONDON OYSTER COMPANY LIMITED</v>
      </c>
      <c r="B213" t="str">
        <f>"13128693"</f>
        <v>13128693</v>
      </c>
      <c r="C213" s="2" t="s">
        <v>6</v>
      </c>
      <c r="D213" s="2" t="s">
        <v>31</v>
      </c>
      <c r="E213" s="4">
        <v>45232</v>
      </c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</row>
    <row r="214" spans="1:26" s="15" customFormat="1" x14ac:dyDescent="0.25">
      <c r="A214" s="1" t="str">
        <f>"PHOTOPLAN LIMITED"</f>
        <v>PHOTOPLAN LIMITED</v>
      </c>
      <c r="B214" t="str">
        <f>"05034747"</f>
        <v>05034747</v>
      </c>
      <c r="C214" s="2" t="s">
        <v>6</v>
      </c>
      <c r="D214" s="2" t="s">
        <v>31</v>
      </c>
      <c r="E214" s="4">
        <v>45232</v>
      </c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</row>
    <row r="215" spans="1:26" s="15" customFormat="1" x14ac:dyDescent="0.25">
      <c r="A215" s="1" t="str">
        <f>"PWW VENTURES LIMITED"</f>
        <v>PWW VENTURES LIMITED</v>
      </c>
      <c r="B215" t="str">
        <f>"08901611"</f>
        <v>08901611</v>
      </c>
      <c r="C215" s="2" t="s">
        <v>6</v>
      </c>
      <c r="D215" s="2" t="s">
        <v>31</v>
      </c>
      <c r="E215" s="4">
        <v>45232</v>
      </c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</row>
    <row r="216" spans="1:26" s="15" customFormat="1" x14ac:dyDescent="0.25">
      <c r="A216" s="1" t="str">
        <f>"ASTOMS LTD"</f>
        <v>ASTOMS LTD</v>
      </c>
      <c r="B216" t="str">
        <f>"08954375"</f>
        <v>08954375</v>
      </c>
      <c r="C216" s="2" t="s">
        <v>6</v>
      </c>
      <c r="D216" s="2" t="s">
        <v>31</v>
      </c>
      <c r="E216" s="4">
        <v>45232</v>
      </c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</row>
    <row r="217" spans="1:26" s="15" customFormat="1" x14ac:dyDescent="0.25">
      <c r="A217" s="1" t="str">
        <f>"GLASSBUSTERS LIMITED"</f>
        <v>GLASSBUSTERS LIMITED</v>
      </c>
      <c r="B217" t="str">
        <f>"07746959"</f>
        <v>07746959</v>
      </c>
      <c r="C217" s="2" t="s">
        <v>6</v>
      </c>
      <c r="D217" s="2" t="s">
        <v>31</v>
      </c>
      <c r="E217" s="4">
        <v>45232</v>
      </c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</row>
    <row r="218" spans="1:26" s="15" customFormat="1" x14ac:dyDescent="0.25">
      <c r="A218" s="1" t="str">
        <f>"GLASSBUSTERS LIMITED"</f>
        <v>GLASSBUSTERS LIMITED</v>
      </c>
      <c r="B218" t="str">
        <f>"07746959"</f>
        <v>07746959</v>
      </c>
      <c r="C218" s="2" t="s">
        <v>6</v>
      </c>
      <c r="D218" s="2" t="s">
        <v>31</v>
      </c>
      <c r="E218" s="4">
        <v>45232</v>
      </c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</row>
    <row r="219" spans="1:26" s="15" customFormat="1" x14ac:dyDescent="0.25">
      <c r="A219" s="1" t="str">
        <f>"HBS PROACTIVE SOLUTIONS LIMITED"</f>
        <v>HBS PROACTIVE SOLUTIONS LIMITED</v>
      </c>
      <c r="B219" t="str">
        <f>"11309193"</f>
        <v>11309193</v>
      </c>
      <c r="C219" s="2" t="s">
        <v>6</v>
      </c>
      <c r="D219" s="2" t="s">
        <v>31</v>
      </c>
      <c r="E219" s="4">
        <v>45239</v>
      </c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</row>
    <row r="220" spans="1:26" s="15" customFormat="1" x14ac:dyDescent="0.25">
      <c r="A220" s="1" t="str">
        <f>"CERTA CITO TRANSPORT LIMITED"</f>
        <v>CERTA CITO TRANSPORT LIMITED</v>
      </c>
      <c r="B220" t="str">
        <f>"10630159"</f>
        <v>10630159</v>
      </c>
      <c r="C220" s="2" t="s">
        <v>6</v>
      </c>
      <c r="D220" s="2" t="s">
        <v>31</v>
      </c>
      <c r="E220" s="4">
        <v>45239</v>
      </c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</row>
    <row r="221" spans="1:26" s="15" customFormat="1" x14ac:dyDescent="0.25">
      <c r="A221" s="1" t="str">
        <f>"JJSG LTD"</f>
        <v>JJSG LTD</v>
      </c>
      <c r="B221" t="str">
        <f>"12998138"</f>
        <v>12998138</v>
      </c>
      <c r="C221" s="2" t="s">
        <v>6</v>
      </c>
      <c r="D221" s="2" t="s">
        <v>31</v>
      </c>
      <c r="E221" s="4">
        <v>45239</v>
      </c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</row>
    <row r="222" spans="1:26" s="15" customFormat="1" x14ac:dyDescent="0.25">
      <c r="A222" s="1" t="str">
        <f>"CARE FIRST TRAINING LIMITED"</f>
        <v>CARE FIRST TRAINING LIMITED</v>
      </c>
      <c r="B222" t="str">
        <f>"04769330"</f>
        <v>04769330</v>
      </c>
      <c r="C222" s="2" t="s">
        <v>6</v>
      </c>
      <c r="D222" s="2" t="s">
        <v>31</v>
      </c>
      <c r="E222" s="4">
        <v>45239</v>
      </c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</row>
    <row r="223" spans="1:26" s="15" customFormat="1" x14ac:dyDescent="0.25">
      <c r="A223" s="1" t="str">
        <f>"TRS BARS AND RESTAURANTS LIMITED"</f>
        <v>TRS BARS AND RESTAURANTS LIMITED</v>
      </c>
      <c r="B223" t="str">
        <f>"09269328"</f>
        <v>09269328</v>
      </c>
      <c r="C223" s="2" t="s">
        <v>6</v>
      </c>
      <c r="D223" s="2" t="s">
        <v>31</v>
      </c>
      <c r="E223" s="4">
        <v>45239</v>
      </c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</row>
    <row r="224" spans="1:26" s="15" customFormat="1" x14ac:dyDescent="0.25">
      <c r="A224" s="1" t="str">
        <f>"ELITE PANTOMIMES LIMITED"</f>
        <v>ELITE PANTOMIMES LIMITED</v>
      </c>
      <c r="B224" t="str">
        <f>"12378286"</f>
        <v>12378286</v>
      </c>
      <c r="C224" s="2" t="s">
        <v>6</v>
      </c>
      <c r="D224" s="2" t="s">
        <v>31</v>
      </c>
      <c r="E224" s="4">
        <v>45244</v>
      </c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</row>
    <row r="225" spans="1:25" s="15" customFormat="1" x14ac:dyDescent="0.25">
      <c r="A225" s="1" t="str">
        <f>"ELITE PRODUCTIONS LIMITED"</f>
        <v>ELITE PRODUCTIONS LIMITED</v>
      </c>
      <c r="B225" t="str">
        <f>"07701464"</f>
        <v>07701464</v>
      </c>
      <c r="C225" s="2" t="s">
        <v>6</v>
      </c>
      <c r="D225" s="2" t="s">
        <v>31</v>
      </c>
      <c r="E225" s="4">
        <v>45244</v>
      </c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</row>
    <row r="226" spans="1:25" s="15" customFormat="1" x14ac:dyDescent="0.25">
      <c r="A226" s="1" t="str">
        <f>"SJT CONTRACTORS LIMITED"</f>
        <v>SJT CONTRACTORS LIMITED</v>
      </c>
      <c r="B226" t="str">
        <f>"07775739"</f>
        <v>07775739</v>
      </c>
      <c r="C226" s="2" t="s">
        <v>6</v>
      </c>
      <c r="D226" s="2" t="s">
        <v>31</v>
      </c>
      <c r="E226" s="4">
        <v>45244</v>
      </c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</row>
    <row r="227" spans="1:25" s="15" customFormat="1" x14ac:dyDescent="0.25">
      <c r="A227" s="1" t="str">
        <f>"CUSTOMER EXCEL LIMITED"</f>
        <v>CUSTOMER EXCEL LIMITED</v>
      </c>
      <c r="B227" t="str">
        <f>"08128867"</f>
        <v>08128867</v>
      </c>
      <c r="C227" s="2" t="s">
        <v>6</v>
      </c>
      <c r="D227" s="2" t="s">
        <v>31</v>
      </c>
      <c r="E227" s="4">
        <v>45246</v>
      </c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</row>
    <row r="228" spans="1:25" s="15" customFormat="1" x14ac:dyDescent="0.25">
      <c r="A228" s="1" t="str">
        <f>"FLIGHTPATH DIGITAL LTD"</f>
        <v>FLIGHTPATH DIGITAL LTD</v>
      </c>
      <c r="B228" t="str">
        <f>"10942275"</f>
        <v>10942275</v>
      </c>
      <c r="C228" s="2" t="s">
        <v>6</v>
      </c>
      <c r="D228" s="2" t="s">
        <v>31</v>
      </c>
      <c r="E228" s="4">
        <v>45246</v>
      </c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</row>
    <row r="229" spans="1:25" s="15" customFormat="1" x14ac:dyDescent="0.25">
      <c r="A229" s="1" t="str">
        <f>"BENFLEET TAV LIMITED"</f>
        <v>BENFLEET TAV LIMITED</v>
      </c>
      <c r="B229" t="str">
        <f>"10345806"</f>
        <v>10345806</v>
      </c>
      <c r="C229" s="2" t="s">
        <v>6</v>
      </c>
      <c r="D229" s="2" t="s">
        <v>31</v>
      </c>
      <c r="E229" s="4">
        <v>45246</v>
      </c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</row>
    <row r="230" spans="1:25" s="15" customFormat="1" x14ac:dyDescent="0.25">
      <c r="A230" s="1" t="str">
        <f>"OUTEN TYRES LIMITED"</f>
        <v>OUTEN TYRES LIMITED</v>
      </c>
      <c r="B230" t="str">
        <f>"08082938"</f>
        <v>08082938</v>
      </c>
      <c r="C230" s="2" t="s">
        <v>6</v>
      </c>
      <c r="D230" s="2" t="s">
        <v>31</v>
      </c>
      <c r="E230" s="4">
        <v>45246</v>
      </c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</row>
    <row r="231" spans="1:25" s="15" customFormat="1" x14ac:dyDescent="0.25">
      <c r="A231" s="1" t="s">
        <v>796</v>
      </c>
      <c r="B231" t="s">
        <v>797</v>
      </c>
      <c r="C231" s="2" t="s">
        <v>6</v>
      </c>
      <c r="D231" s="2" t="s">
        <v>31</v>
      </c>
      <c r="E231" s="4">
        <v>45246</v>
      </c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</row>
    <row r="232" spans="1:25" s="15" customFormat="1" x14ac:dyDescent="0.25">
      <c r="A232" s="1" t="s">
        <v>708</v>
      </c>
      <c r="B232" t="s">
        <v>709</v>
      </c>
      <c r="C232" s="2" t="s">
        <v>6</v>
      </c>
      <c r="D232" s="2" t="s">
        <v>31</v>
      </c>
      <c r="E232" s="4">
        <v>45246</v>
      </c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</row>
    <row r="233" spans="1:25" s="15" customFormat="1" x14ac:dyDescent="0.25">
      <c r="A233" s="1" t="str">
        <f>"SC MAINTENANCE SOLUTIONS LTD"</f>
        <v>SC MAINTENANCE SOLUTIONS LTD</v>
      </c>
      <c r="B233" t="str">
        <f>"12529766"</f>
        <v>12529766</v>
      </c>
      <c r="C233" s="2" t="s">
        <v>6</v>
      </c>
      <c r="D233" s="2" t="s">
        <v>31</v>
      </c>
      <c r="E233" s="4">
        <v>45246</v>
      </c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</row>
    <row r="234" spans="1:25" s="15" customFormat="1" x14ac:dyDescent="0.25">
      <c r="A234" s="1" t="str">
        <f>"SSG CARPENTRY LTD"</f>
        <v>SSG CARPENTRY LTD</v>
      </c>
      <c r="B234" t="str">
        <f>"10272958"</f>
        <v>10272958</v>
      </c>
      <c r="C234" s="2" t="s">
        <v>6</v>
      </c>
      <c r="D234" s="2" t="s">
        <v>31</v>
      </c>
      <c r="E234" s="4">
        <v>45251</v>
      </c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</row>
    <row r="235" spans="1:25" s="15" customFormat="1" x14ac:dyDescent="0.25">
      <c r="A235" s="1" t="str">
        <f>"LUCAS LANDSCAPES LTD"</f>
        <v>LUCAS LANDSCAPES LTD</v>
      </c>
      <c r="B235" t="str">
        <f>"11012771"</f>
        <v>11012771</v>
      </c>
      <c r="C235" s="2" t="s">
        <v>6</v>
      </c>
      <c r="D235" s="2" t="s">
        <v>31</v>
      </c>
      <c r="E235" s="4">
        <v>45253</v>
      </c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</row>
    <row r="236" spans="1:25" s="15" customFormat="1" x14ac:dyDescent="0.25">
      <c r="A236" s="1" t="str">
        <f>"HPRHENRY LIMITED"</f>
        <v>HPRHENRY LIMITED</v>
      </c>
      <c r="B236" t="str">
        <f>"09067574"</f>
        <v>09067574</v>
      </c>
      <c r="C236" s="2" t="s">
        <v>6</v>
      </c>
      <c r="D236" s="2" t="s">
        <v>65</v>
      </c>
      <c r="E236" s="4">
        <v>45239</v>
      </c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</row>
    <row r="237" spans="1:25" s="15" customFormat="1" x14ac:dyDescent="0.25">
      <c r="A237" s="1" t="str">
        <f>"ONE IN A MILLION ENTERTAINMENT LTD"</f>
        <v>ONE IN A MILLION ENTERTAINMENT LTD</v>
      </c>
      <c r="B237" t="str">
        <f>"05329282"</f>
        <v>05329282</v>
      </c>
      <c r="C237" s="2" t="s">
        <v>6</v>
      </c>
      <c r="D237" s="2" t="s">
        <v>7</v>
      </c>
      <c r="E237" s="4">
        <v>44948</v>
      </c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</row>
    <row r="238" spans="1:25" x14ac:dyDescent="0.25">
      <c r="A238" s="1" t="s">
        <v>513</v>
      </c>
      <c r="B238">
        <v>10536248</v>
      </c>
      <c r="C238" s="2" t="s">
        <v>6</v>
      </c>
      <c r="D238" s="2" t="s">
        <v>7</v>
      </c>
      <c r="E238" s="4">
        <v>45219</v>
      </c>
    </row>
    <row r="239" spans="1:25" x14ac:dyDescent="0.25">
      <c r="A239" s="1" t="str">
        <f>"INDUSTRIAL POWER SOLUTIONS LIMITED"</f>
        <v>INDUSTRIAL POWER SOLUTIONS LIMITED</v>
      </c>
      <c r="B239" t="str">
        <f>"04726534"</f>
        <v>04726534</v>
      </c>
      <c r="C239" s="2" t="s">
        <v>6</v>
      </c>
      <c r="D239" s="2" t="s">
        <v>7</v>
      </c>
      <c r="E239" s="4">
        <v>45226</v>
      </c>
    </row>
    <row r="240" spans="1:25" x14ac:dyDescent="0.25">
      <c r="A240" s="1" t="s">
        <v>449</v>
      </c>
      <c r="B240">
        <v>10198870</v>
      </c>
      <c r="C240" s="2" t="s">
        <v>6</v>
      </c>
      <c r="D240" s="2" t="s">
        <v>7</v>
      </c>
      <c r="E240" s="4">
        <v>45229</v>
      </c>
    </row>
    <row r="241" spans="1:5" x14ac:dyDescent="0.25">
      <c r="A241" s="1" t="str">
        <f>"TOP UP CONSULTANTS LIMITED"</f>
        <v>TOP UP CONSULTANTS LIMITED</v>
      </c>
      <c r="B241" t="str">
        <f>"03461424"</f>
        <v>03461424</v>
      </c>
      <c r="C241" s="2" t="s">
        <v>6</v>
      </c>
      <c r="D241" s="2" t="s">
        <v>7</v>
      </c>
      <c r="E241" s="4">
        <v>45230</v>
      </c>
    </row>
    <row r="242" spans="1:5" x14ac:dyDescent="0.25">
      <c r="A242" s="1" t="str">
        <f>"KENT FISHERIES LIMITED"</f>
        <v>KENT FISHERIES LIMITED</v>
      </c>
      <c r="B242" t="str">
        <f>"12012478"</f>
        <v>12012478</v>
      </c>
      <c r="C242" s="2" t="s">
        <v>6</v>
      </c>
      <c r="D242" s="2" t="s">
        <v>7</v>
      </c>
      <c r="E242" s="4">
        <v>45230</v>
      </c>
    </row>
    <row r="243" spans="1:5" x14ac:dyDescent="0.25">
      <c r="A243" s="1" t="str">
        <f>"WE ARE KASH LTD"</f>
        <v>WE ARE KASH LTD</v>
      </c>
      <c r="B243" t="str">
        <f>"08062341"</f>
        <v>08062341</v>
      </c>
      <c r="C243" s="2" t="s">
        <v>6</v>
      </c>
      <c r="D243" s="2" t="s">
        <v>7</v>
      </c>
      <c r="E243" s="4">
        <v>45230</v>
      </c>
    </row>
    <row r="244" spans="1:5" x14ac:dyDescent="0.25">
      <c r="A244" s="1" t="str">
        <f>"AON ENTERTAINMENT GROUP LTD"</f>
        <v>AON ENTERTAINMENT GROUP LTD</v>
      </c>
      <c r="B244" t="str">
        <f>"14426803"</f>
        <v>14426803</v>
      </c>
      <c r="C244" s="2" t="s">
        <v>6</v>
      </c>
      <c r="D244" s="2" t="s">
        <v>7</v>
      </c>
      <c r="E244" s="4">
        <v>45231</v>
      </c>
    </row>
    <row r="245" spans="1:5" x14ac:dyDescent="0.25">
      <c r="A245" s="1" t="str">
        <f>"WHITCOMBE PIPELINES LTD"</f>
        <v>WHITCOMBE PIPELINES LTD</v>
      </c>
      <c r="B245" t="str">
        <f>"11494271"</f>
        <v>11494271</v>
      </c>
      <c r="C245" s="2" t="s">
        <v>6</v>
      </c>
      <c r="D245" s="2" t="s">
        <v>7</v>
      </c>
      <c r="E245" s="4">
        <v>45231</v>
      </c>
    </row>
    <row r="246" spans="1:5" x14ac:dyDescent="0.25">
      <c r="A246" s="1" t="str">
        <f>"ENFIELD CONSTRUCTION COMPANY LIMITED"</f>
        <v>ENFIELD CONSTRUCTION COMPANY LIMITED</v>
      </c>
      <c r="B246" t="str">
        <f>"03606585"</f>
        <v>03606585</v>
      </c>
      <c r="C246" s="2" t="s">
        <v>6</v>
      </c>
      <c r="D246" s="2" t="s">
        <v>7</v>
      </c>
      <c r="E246" s="4">
        <v>45232</v>
      </c>
    </row>
    <row r="247" spans="1:5" x14ac:dyDescent="0.25">
      <c r="A247" s="1" t="str">
        <f>"SYMCROFT MAINTENANCE SERVICES LTD"</f>
        <v>SYMCROFT MAINTENANCE SERVICES LTD</v>
      </c>
      <c r="B247" t="str">
        <f>"08029117"</f>
        <v>08029117</v>
      </c>
      <c r="C247" s="2" t="s">
        <v>6</v>
      </c>
      <c r="D247" s="2" t="s">
        <v>7</v>
      </c>
      <c r="E247" s="4">
        <v>45236</v>
      </c>
    </row>
    <row r="248" spans="1:5" x14ac:dyDescent="0.25">
      <c r="A248" s="1" t="str">
        <f>"ALPHA SPRINGS LIMITED"</f>
        <v>ALPHA SPRINGS LIMITED</v>
      </c>
      <c r="B248" t="str">
        <f>"03662749"</f>
        <v>03662749</v>
      </c>
      <c r="C248" s="2" t="s">
        <v>6</v>
      </c>
      <c r="D248" s="2" t="s">
        <v>7</v>
      </c>
      <c r="E248" s="4">
        <v>45237</v>
      </c>
    </row>
    <row r="249" spans="1:5" x14ac:dyDescent="0.25">
      <c r="A249" s="1" t="str">
        <f>"BD MEM KITCHENS LIMITED"</f>
        <v>BD MEM KITCHENS LIMITED</v>
      </c>
      <c r="B249" t="str">
        <f>"11972550"</f>
        <v>11972550</v>
      </c>
      <c r="C249" s="2" t="s">
        <v>6</v>
      </c>
      <c r="D249" s="2" t="s">
        <v>7</v>
      </c>
      <c r="E249" s="4">
        <v>45237</v>
      </c>
    </row>
    <row r="250" spans="1:5" x14ac:dyDescent="0.25">
      <c r="A250" s="1" t="str">
        <f>"BARAKAT LONDON LTD"</f>
        <v>BARAKAT LONDON LTD</v>
      </c>
      <c r="B250" t="str">
        <f>"08894841"</f>
        <v>08894841</v>
      </c>
      <c r="C250" s="2" t="s">
        <v>6</v>
      </c>
      <c r="D250" s="2" t="s">
        <v>7</v>
      </c>
      <c r="E250" s="4">
        <v>45238</v>
      </c>
    </row>
    <row r="251" spans="1:5" x14ac:dyDescent="0.25">
      <c r="A251" s="1" t="str">
        <f>"XENIA HOLDINGS LIMITED"</f>
        <v>XENIA HOLDINGS LIMITED</v>
      </c>
      <c r="B251" t="str">
        <f>"11873587"</f>
        <v>11873587</v>
      </c>
      <c r="C251" s="2" t="s">
        <v>6</v>
      </c>
      <c r="D251" s="2" t="s">
        <v>7</v>
      </c>
      <c r="E251" s="4">
        <v>45238</v>
      </c>
    </row>
    <row r="252" spans="1:5" x14ac:dyDescent="0.25">
      <c r="A252" s="1" t="str">
        <f>"ALVA TECH LTD"</f>
        <v>ALVA TECH LTD</v>
      </c>
      <c r="B252" t="str">
        <f>"12017113"</f>
        <v>12017113</v>
      </c>
      <c r="C252" s="2" t="s">
        <v>6</v>
      </c>
      <c r="D252" s="2" t="s">
        <v>7</v>
      </c>
      <c r="E252" s="4">
        <v>45238</v>
      </c>
    </row>
    <row r="253" spans="1:5" x14ac:dyDescent="0.25">
      <c r="A253" s="1" t="str">
        <f>"FIGSANDCO LTD"</f>
        <v>FIGSANDCO LTD</v>
      </c>
      <c r="B253" t="str">
        <f>"11698455"</f>
        <v>11698455</v>
      </c>
      <c r="C253" s="2" t="s">
        <v>6</v>
      </c>
      <c r="D253" s="2" t="s">
        <v>7</v>
      </c>
      <c r="E253" s="4">
        <v>45239</v>
      </c>
    </row>
    <row r="254" spans="1:5" x14ac:dyDescent="0.25">
      <c r="A254" s="1" t="str">
        <f>"H'S KITCHEN LTD"</f>
        <v>H'S KITCHEN LTD</v>
      </c>
      <c r="B254" t="str">
        <f>"10619190"</f>
        <v>10619190</v>
      </c>
      <c r="C254" s="2" t="s">
        <v>6</v>
      </c>
      <c r="D254" s="2" t="s">
        <v>7</v>
      </c>
      <c r="E254" s="4">
        <v>45239</v>
      </c>
    </row>
    <row r="255" spans="1:5" x14ac:dyDescent="0.25">
      <c r="A255" s="1" t="str">
        <f>"CARDEO LTD"</f>
        <v>CARDEO LTD</v>
      </c>
      <c r="B255" t="str">
        <f>"12712807"</f>
        <v>12712807</v>
      </c>
      <c r="C255" s="2" t="s">
        <v>6</v>
      </c>
      <c r="D255" s="2" t="s">
        <v>7</v>
      </c>
      <c r="E255" s="4">
        <v>45239</v>
      </c>
    </row>
    <row r="256" spans="1:5" x14ac:dyDescent="0.25">
      <c r="A256" s="1" t="str">
        <f>"ARCHIS EVOLUTION PROPERTY RENTAL LTD"</f>
        <v>ARCHIS EVOLUTION PROPERTY RENTAL LTD</v>
      </c>
      <c r="B256" t="str">
        <f>"11697218"</f>
        <v>11697218</v>
      </c>
      <c r="C256" s="2" t="s">
        <v>6</v>
      </c>
      <c r="D256" s="2" t="s">
        <v>7</v>
      </c>
      <c r="E256" s="4">
        <v>45239</v>
      </c>
    </row>
    <row r="257" spans="1:5" x14ac:dyDescent="0.25">
      <c r="A257" s="1" t="str">
        <f>"SIMON GREGSON PRODUCTIONS LIMITED"</f>
        <v>SIMON GREGSON PRODUCTIONS LIMITED</v>
      </c>
      <c r="B257" t="str">
        <f>"05563531"</f>
        <v>05563531</v>
      </c>
      <c r="C257" s="2" t="s">
        <v>6</v>
      </c>
      <c r="D257" s="2" t="s">
        <v>7</v>
      </c>
      <c r="E257" s="4">
        <v>45239</v>
      </c>
    </row>
    <row r="258" spans="1:5" x14ac:dyDescent="0.25">
      <c r="A258" s="1" t="str">
        <f>"A F NUTS LIMITED"</f>
        <v>A F NUTS LIMITED</v>
      </c>
      <c r="B258" t="str">
        <f>"05623717"</f>
        <v>05623717</v>
      </c>
      <c r="C258" s="2" t="s">
        <v>6</v>
      </c>
      <c r="D258" s="2" t="s">
        <v>7</v>
      </c>
      <c r="E258" s="4">
        <v>45240</v>
      </c>
    </row>
    <row r="259" spans="1:5" x14ac:dyDescent="0.25">
      <c r="A259" s="1" t="str">
        <f>"AFFORDABLE FITNESS (BIRKENHEAD) LIMITED"</f>
        <v>AFFORDABLE FITNESS (BIRKENHEAD) LIMITED</v>
      </c>
      <c r="B259" t="str">
        <f>"13796442"</f>
        <v>13796442</v>
      </c>
      <c r="C259" s="2" t="s">
        <v>6</v>
      </c>
      <c r="D259" s="2" t="s">
        <v>7</v>
      </c>
      <c r="E259" s="4">
        <v>45243</v>
      </c>
    </row>
    <row r="260" spans="1:5" x14ac:dyDescent="0.25">
      <c r="A260" s="1" t="str">
        <f>"KARSTEN SCHUBERT LIMITED"</f>
        <v>KARSTEN SCHUBERT LIMITED</v>
      </c>
      <c r="B260" t="str">
        <f>"06848970"</f>
        <v>06848970</v>
      </c>
      <c r="C260" s="2" t="s">
        <v>6</v>
      </c>
      <c r="D260" s="2" t="s">
        <v>7</v>
      </c>
      <c r="E260" s="4">
        <v>45243</v>
      </c>
    </row>
    <row r="261" spans="1:5" x14ac:dyDescent="0.25">
      <c r="A261" s="1" t="str">
        <f>"BRADSHAW ESTATE AGENTS LIMITED"</f>
        <v>BRADSHAW ESTATE AGENTS LIMITED</v>
      </c>
      <c r="B261" t="str">
        <f>"10267263"</f>
        <v>10267263</v>
      </c>
      <c r="C261" s="2" t="s">
        <v>6</v>
      </c>
      <c r="D261" s="2" t="s">
        <v>7</v>
      </c>
      <c r="E261" s="4">
        <v>45243</v>
      </c>
    </row>
    <row r="262" spans="1:5" x14ac:dyDescent="0.25">
      <c r="A262" s="1" t="str">
        <f>"GATE HOUSE REAL ESTATE LIMITED"</f>
        <v>GATE HOUSE REAL ESTATE LIMITED</v>
      </c>
      <c r="B262" t="str">
        <f>"11269829"</f>
        <v>11269829</v>
      </c>
      <c r="C262" s="2" t="s">
        <v>6</v>
      </c>
      <c r="D262" s="2" t="s">
        <v>7</v>
      </c>
      <c r="E262" s="4">
        <v>45243</v>
      </c>
    </row>
    <row r="263" spans="1:5" x14ac:dyDescent="0.25">
      <c r="A263" s="1" t="str">
        <f>"CLOC LIMITED"</f>
        <v>CLOC LIMITED</v>
      </c>
      <c r="B263" t="str">
        <f>"01242588"</f>
        <v>01242588</v>
      </c>
      <c r="C263" s="2" t="s">
        <v>6</v>
      </c>
      <c r="D263" s="2" t="s">
        <v>7</v>
      </c>
      <c r="E263" s="4">
        <v>45244</v>
      </c>
    </row>
    <row r="264" spans="1:5" x14ac:dyDescent="0.25">
      <c r="A264" s="1" t="str">
        <f>"TEKNOFOBES LIMITED"</f>
        <v>TEKNOFOBES LIMITED</v>
      </c>
      <c r="B264" t="str">
        <f>"07520708"</f>
        <v>07520708</v>
      </c>
      <c r="C264" s="2" t="s">
        <v>6</v>
      </c>
      <c r="D264" s="2" t="s">
        <v>7</v>
      </c>
      <c r="E264" s="4">
        <v>45245</v>
      </c>
    </row>
    <row r="265" spans="1:5" x14ac:dyDescent="0.25">
      <c r="A265" s="1" t="str">
        <f>"TRADE FLOORING LONDON LIMITED"</f>
        <v>TRADE FLOORING LONDON LIMITED</v>
      </c>
      <c r="B265" t="str">
        <f>"09175237"</f>
        <v>09175237</v>
      </c>
      <c r="C265" s="2" t="s">
        <v>6</v>
      </c>
      <c r="D265" s="2" t="s">
        <v>7</v>
      </c>
      <c r="E265" s="4">
        <v>45245</v>
      </c>
    </row>
    <row r="266" spans="1:5" x14ac:dyDescent="0.25">
      <c r="A266" s="1" t="str">
        <f>"MEDIA:CPM LIMITED"</f>
        <v>MEDIA:CPM LIMITED</v>
      </c>
      <c r="B266" t="str">
        <f>"06048396"</f>
        <v>06048396</v>
      </c>
      <c r="C266" s="2" t="s">
        <v>6</v>
      </c>
      <c r="D266" s="2" t="s">
        <v>7</v>
      </c>
      <c r="E266" s="4">
        <v>45245</v>
      </c>
    </row>
    <row r="267" spans="1:5" x14ac:dyDescent="0.25">
      <c r="A267" s="1" t="str">
        <f>"BEEZOO LIMITED"</f>
        <v>BEEZOO LIMITED</v>
      </c>
      <c r="B267" t="str">
        <f>"05409972"</f>
        <v>05409972</v>
      </c>
      <c r="C267" s="2" t="s">
        <v>6</v>
      </c>
      <c r="D267" s="2" t="s">
        <v>7</v>
      </c>
      <c r="E267" s="4">
        <v>45246</v>
      </c>
    </row>
    <row r="268" spans="1:5" x14ac:dyDescent="0.25">
      <c r="A268" s="1" t="str">
        <f>"LITTLE RASCALS LONDON LTD"</f>
        <v>LITTLE RASCALS LONDON LTD</v>
      </c>
      <c r="B268" t="str">
        <f>"07813223"</f>
        <v>07813223</v>
      </c>
      <c r="C268" s="2" t="s">
        <v>6</v>
      </c>
      <c r="D268" s="2" t="s">
        <v>7</v>
      </c>
      <c r="E268" s="4">
        <v>45246</v>
      </c>
    </row>
    <row r="269" spans="1:5" x14ac:dyDescent="0.25">
      <c r="A269" s="1" t="str">
        <f>"COCO RUGBY LIMITED"</f>
        <v>COCO RUGBY LIMITED</v>
      </c>
      <c r="B269" t="str">
        <f>"10813642"</f>
        <v>10813642</v>
      </c>
      <c r="C269" s="2" t="s">
        <v>6</v>
      </c>
      <c r="D269" s="2" t="s">
        <v>7</v>
      </c>
      <c r="E269" s="4">
        <v>45247</v>
      </c>
    </row>
    <row r="270" spans="1:5" x14ac:dyDescent="0.25">
      <c r="A270" s="1" t="str">
        <f>"FGFY LTD"</f>
        <v>FGFY LTD</v>
      </c>
      <c r="B270" t="str">
        <f>"11714316"</f>
        <v>11714316</v>
      </c>
      <c r="C270" s="2" t="s">
        <v>6</v>
      </c>
      <c r="D270" s="2" t="s">
        <v>7</v>
      </c>
      <c r="E270" s="4">
        <v>45247</v>
      </c>
    </row>
    <row r="271" spans="1:5" x14ac:dyDescent="0.25">
      <c r="A271" s="1" t="str">
        <f>"THE FACE SPACE LIMITED"</f>
        <v>THE FACE SPACE LIMITED</v>
      </c>
      <c r="B271" t="str">
        <f>"11727094"</f>
        <v>11727094</v>
      </c>
      <c r="C271" s="2" t="s">
        <v>6</v>
      </c>
      <c r="D271" s="2" t="s">
        <v>7</v>
      </c>
      <c r="E271" s="4">
        <v>45247</v>
      </c>
    </row>
    <row r="272" spans="1:5" x14ac:dyDescent="0.25">
      <c r="A272" s="1" t="s">
        <v>615</v>
      </c>
      <c r="B272">
        <v>12880746</v>
      </c>
      <c r="C272" s="2" t="s">
        <v>6</v>
      </c>
      <c r="D272" s="2" t="s">
        <v>7</v>
      </c>
      <c r="E272" s="4">
        <v>45250</v>
      </c>
    </row>
    <row r="273" spans="1:5" x14ac:dyDescent="0.25">
      <c r="A273" s="1" t="str">
        <f>"03013551 LIMITED"</f>
        <v>03013551 LIMITED</v>
      </c>
      <c r="B273" t="str">
        <f>"03013551"</f>
        <v>03013551</v>
      </c>
      <c r="C273" s="2" t="s">
        <v>6</v>
      </c>
      <c r="D273" s="2" t="s">
        <v>7</v>
      </c>
      <c r="E273" s="4">
        <v>45250</v>
      </c>
    </row>
    <row r="274" spans="1:5" x14ac:dyDescent="0.25">
      <c r="A274" s="1" t="s">
        <v>690</v>
      </c>
      <c r="B274" t="s">
        <v>691</v>
      </c>
      <c r="C274" s="2" t="s">
        <v>6</v>
      </c>
      <c r="D274" s="2" t="s">
        <v>7</v>
      </c>
      <c r="E274" s="4">
        <v>45251</v>
      </c>
    </row>
    <row r="275" spans="1:5" x14ac:dyDescent="0.25">
      <c r="A275" s="1" t="s">
        <v>779</v>
      </c>
      <c r="B275">
        <v>12066698</v>
      </c>
      <c r="C275" s="2" t="s">
        <v>6</v>
      </c>
      <c r="D275" s="2" t="s">
        <v>7</v>
      </c>
      <c r="E275" s="4">
        <v>45251</v>
      </c>
    </row>
    <row r="276" spans="1:5" x14ac:dyDescent="0.25">
      <c r="A276" s="1" t="str">
        <f>"RICHTER ASSOCIATES (LONDON) LIMITED"</f>
        <v>RICHTER ASSOCIATES (LONDON) LIMITED</v>
      </c>
      <c r="B276" t="str">
        <f>"12858301"</f>
        <v>12858301</v>
      </c>
      <c r="C276" s="2" t="s">
        <v>6</v>
      </c>
      <c r="D276" s="2" t="s">
        <v>7</v>
      </c>
      <c r="E276" s="4">
        <v>45251</v>
      </c>
    </row>
    <row r="277" spans="1:5" x14ac:dyDescent="0.25">
      <c r="A277" s="1" t="str">
        <f>"LOOPING GROUP INTERNATIONAL LTD"</f>
        <v>LOOPING GROUP INTERNATIONAL LTD</v>
      </c>
      <c r="B277" t="str">
        <f>"13082646"</f>
        <v>13082646</v>
      </c>
      <c r="C277" s="2" t="s">
        <v>6</v>
      </c>
      <c r="D277" s="2" t="s">
        <v>7</v>
      </c>
      <c r="E277" s="4">
        <v>45251</v>
      </c>
    </row>
    <row r="278" spans="1:5" x14ac:dyDescent="0.25">
      <c r="A278" s="1" t="s">
        <v>809</v>
      </c>
      <c r="B278">
        <v>12082680</v>
      </c>
      <c r="C278" s="2" t="s">
        <v>6</v>
      </c>
      <c r="D278" s="2" t="s">
        <v>7</v>
      </c>
      <c r="E278" s="4">
        <v>45252</v>
      </c>
    </row>
    <row r="279" spans="1:5" x14ac:dyDescent="0.25">
      <c r="A279" s="1" t="s">
        <v>810</v>
      </c>
      <c r="B279">
        <v>9042468</v>
      </c>
      <c r="C279" s="2" t="s">
        <v>6</v>
      </c>
      <c r="D279" s="2" t="s">
        <v>7</v>
      </c>
      <c r="E279" s="4">
        <v>45252</v>
      </c>
    </row>
    <row r="280" spans="1:5" x14ac:dyDescent="0.25">
      <c r="A280" s="1" t="str">
        <f>"LE RÊVE ESTATES LIMITED"</f>
        <v>LE RÊVE ESTATES LIMITED</v>
      </c>
      <c r="B280" t="str">
        <f>"10628360"</f>
        <v>10628360</v>
      </c>
      <c r="C280" s="2" t="s">
        <v>6</v>
      </c>
      <c r="D280" s="2" t="s">
        <v>7</v>
      </c>
      <c r="E280" s="4">
        <v>45253</v>
      </c>
    </row>
    <row r="281" spans="1:5" x14ac:dyDescent="0.25">
      <c r="A281" s="1" t="str">
        <f>"DCBM LIMITED"</f>
        <v>DCBM LIMITED</v>
      </c>
      <c r="B281" t="str">
        <f>"11368233"</f>
        <v>11368233</v>
      </c>
      <c r="C281" s="2" t="s">
        <v>6</v>
      </c>
      <c r="D281" s="2" t="s">
        <v>7</v>
      </c>
      <c r="E281" s="4">
        <v>45253</v>
      </c>
    </row>
    <row r="282" spans="1:5" x14ac:dyDescent="0.25">
      <c r="A282" s="1" t="s">
        <v>812</v>
      </c>
      <c r="B282">
        <v>7981434</v>
      </c>
      <c r="C282" s="2" t="s">
        <v>6</v>
      </c>
      <c r="D282" s="2" t="s">
        <v>7</v>
      </c>
      <c r="E282" s="4">
        <v>45257</v>
      </c>
    </row>
    <row r="283" spans="1:5" x14ac:dyDescent="0.25">
      <c r="A283" s="1" t="str">
        <f>"ELLAS BAKERY SOUTHGATE LTD"</f>
        <v>ELLAS BAKERY SOUTHGATE LTD</v>
      </c>
      <c r="B283" t="str">
        <f>"13625233"</f>
        <v>13625233</v>
      </c>
      <c r="C283" s="2" t="s">
        <v>6</v>
      </c>
      <c r="D283" s="2" t="s">
        <v>7</v>
      </c>
      <c r="E283" s="4">
        <v>45258</v>
      </c>
    </row>
    <row r="284" spans="1:5" x14ac:dyDescent="0.25">
      <c r="A284" s="1" t="str">
        <f>"AUTHORED GROUP LTD"</f>
        <v>AUTHORED GROUP LTD</v>
      </c>
      <c r="B284" t="str">
        <f>"11927623"</f>
        <v>11927623</v>
      </c>
      <c r="C284" s="2" t="s">
        <v>6</v>
      </c>
      <c r="D284" s="2" t="s">
        <v>7</v>
      </c>
      <c r="E284" s="4">
        <v>45258</v>
      </c>
    </row>
    <row r="285" spans="1:5" x14ac:dyDescent="0.25">
      <c r="A285" s="1" t="s">
        <v>534</v>
      </c>
      <c r="B285">
        <v>9550839</v>
      </c>
      <c r="C285" s="2" t="s">
        <v>6</v>
      </c>
      <c r="D285" s="2" t="s">
        <v>26</v>
      </c>
      <c r="E285" s="4">
        <v>45225</v>
      </c>
    </row>
    <row r="286" spans="1:5" x14ac:dyDescent="0.25">
      <c r="A286" s="1" t="str">
        <f>"MA KITCHENS &amp; BEDROOMS LTD"</f>
        <v>MA KITCHENS &amp; BEDROOMS LTD</v>
      </c>
      <c r="B286" t="str">
        <f>"11916862"</f>
        <v>11916862</v>
      </c>
      <c r="C286" s="2" t="s">
        <v>6</v>
      </c>
      <c r="D286" s="2" t="s">
        <v>26</v>
      </c>
      <c r="E286" s="4">
        <v>45246</v>
      </c>
    </row>
    <row r="287" spans="1:5" x14ac:dyDescent="0.25">
      <c r="A287" s="1" t="str">
        <f>"SEASIDE AND RURAL BREAKS LTD"</f>
        <v>SEASIDE AND RURAL BREAKS LTD</v>
      </c>
      <c r="B287" t="str">
        <f>"13717954"</f>
        <v>13717954</v>
      </c>
      <c r="C287" s="2" t="s">
        <v>6</v>
      </c>
      <c r="D287" s="2" t="s">
        <v>26</v>
      </c>
      <c r="E287" s="4">
        <v>45246</v>
      </c>
    </row>
    <row r="288" spans="1:5" x14ac:dyDescent="0.25">
      <c r="A288" s="1" t="s">
        <v>461</v>
      </c>
      <c r="B288">
        <v>11573997</v>
      </c>
      <c r="C288" s="2" t="s">
        <v>6</v>
      </c>
      <c r="D288" s="2" t="s">
        <v>227</v>
      </c>
      <c r="E288" s="4">
        <v>45218</v>
      </c>
    </row>
    <row r="289" spans="1:5" x14ac:dyDescent="0.25">
      <c r="A289" s="1" t="s">
        <v>474</v>
      </c>
      <c r="B289">
        <v>11941205</v>
      </c>
      <c r="C289" s="2" t="s">
        <v>6</v>
      </c>
      <c r="D289" s="2" t="s">
        <v>227</v>
      </c>
      <c r="E289" s="4">
        <v>45225</v>
      </c>
    </row>
    <row r="290" spans="1:5" x14ac:dyDescent="0.25">
      <c r="A290" s="1" t="s">
        <v>463</v>
      </c>
      <c r="B290">
        <v>7933840</v>
      </c>
      <c r="C290" s="2" t="s">
        <v>6</v>
      </c>
      <c r="D290" s="2" t="s">
        <v>227</v>
      </c>
      <c r="E290" s="4">
        <v>45225</v>
      </c>
    </row>
    <row r="291" spans="1:5" x14ac:dyDescent="0.25">
      <c r="A291" s="1" t="str">
        <f>"PM LEISURE LTD"</f>
        <v>PM LEISURE LTD</v>
      </c>
      <c r="B291" t="str">
        <f>"11470200"</f>
        <v>11470200</v>
      </c>
      <c r="C291" s="2" t="s">
        <v>6</v>
      </c>
      <c r="D291" s="2" t="s">
        <v>227</v>
      </c>
      <c r="E291" s="4">
        <v>45225</v>
      </c>
    </row>
    <row r="292" spans="1:5" x14ac:dyDescent="0.25">
      <c r="A292" s="1" t="s">
        <v>536</v>
      </c>
      <c r="B292">
        <v>4578962</v>
      </c>
      <c r="C292" s="2" t="s">
        <v>6</v>
      </c>
      <c r="D292" s="2" t="s">
        <v>227</v>
      </c>
      <c r="E292" s="4">
        <v>45229</v>
      </c>
    </row>
    <row r="293" spans="1:5" x14ac:dyDescent="0.25">
      <c r="A293" s="1" t="s">
        <v>561</v>
      </c>
      <c r="B293">
        <v>11880713</v>
      </c>
      <c r="C293" s="2" t="s">
        <v>6</v>
      </c>
      <c r="D293" s="2" t="s">
        <v>227</v>
      </c>
      <c r="E293" s="4">
        <v>45230</v>
      </c>
    </row>
    <row r="294" spans="1:5" x14ac:dyDescent="0.25">
      <c r="A294" s="1" t="str">
        <f>"RB CONSTRUCTION &amp; RENOVATION (NORTH EAST) LIMITED"</f>
        <v>RB CONSTRUCTION &amp; RENOVATION (NORTH EAST) LIMITED</v>
      </c>
      <c r="B294" t="str">
        <f>"10370386"</f>
        <v>10370386</v>
      </c>
      <c r="C294" s="2" t="s">
        <v>6</v>
      </c>
      <c r="D294" s="2" t="s">
        <v>227</v>
      </c>
      <c r="E294" s="4">
        <v>45232</v>
      </c>
    </row>
    <row r="295" spans="1:5" x14ac:dyDescent="0.25">
      <c r="A295" s="1" t="str">
        <f>"EVERYONE NEEDS GOOD AND GUIDED ENGAGEMENT LTD"</f>
        <v>EVERYONE NEEDS GOOD AND GUIDED ENGAGEMENT LTD</v>
      </c>
      <c r="B295" t="str">
        <f>"09582481"</f>
        <v>09582481</v>
      </c>
      <c r="C295" s="2" t="s">
        <v>6</v>
      </c>
      <c r="D295" s="2" t="s">
        <v>227</v>
      </c>
      <c r="E295" s="4">
        <v>45240</v>
      </c>
    </row>
    <row r="296" spans="1:5" x14ac:dyDescent="0.25">
      <c r="A296" s="1" t="str">
        <f>"EMPIRE HOME IMPROVEMENTS LTD"</f>
        <v>EMPIRE HOME IMPROVEMENTS LTD</v>
      </c>
      <c r="B296" t="str">
        <f>"12071883"</f>
        <v>12071883</v>
      </c>
      <c r="C296" s="2" t="s">
        <v>6</v>
      </c>
      <c r="D296" s="2" t="s">
        <v>227</v>
      </c>
      <c r="E296" s="4">
        <v>45252</v>
      </c>
    </row>
    <row r="297" spans="1:5" x14ac:dyDescent="0.25">
      <c r="A297" s="1" t="str">
        <f>"DT OFFSHORE SERVICES LIMITED"</f>
        <v>DT OFFSHORE SERVICES LIMITED</v>
      </c>
      <c r="B297" t="str">
        <f>"12543959"</f>
        <v>12543959</v>
      </c>
      <c r="C297" s="2" t="s">
        <v>6</v>
      </c>
      <c r="D297" s="2" t="s">
        <v>172</v>
      </c>
      <c r="E297" s="4">
        <v>45237</v>
      </c>
    </row>
    <row r="298" spans="1:5" x14ac:dyDescent="0.25">
      <c r="A298" s="1" t="str">
        <f>"ENGAGE AND PLACE LTD"</f>
        <v>ENGAGE AND PLACE LTD</v>
      </c>
      <c r="B298" t="str">
        <f>"12094553"</f>
        <v>12094553</v>
      </c>
      <c r="C298" s="2" t="s">
        <v>6</v>
      </c>
      <c r="D298" s="2" t="s">
        <v>172</v>
      </c>
      <c r="E298" s="4">
        <v>45237</v>
      </c>
    </row>
    <row r="299" spans="1:5" x14ac:dyDescent="0.25">
      <c r="A299" s="1" t="str">
        <f>"WAISTE VINTAGE LIMITED"</f>
        <v>WAISTE VINTAGE LIMITED</v>
      </c>
      <c r="B299" t="str">
        <f>"08995340"</f>
        <v>08995340</v>
      </c>
      <c r="C299" s="2" t="s">
        <v>6</v>
      </c>
      <c r="D299" s="2" t="s">
        <v>172</v>
      </c>
      <c r="E299" s="4">
        <v>45238</v>
      </c>
    </row>
    <row r="300" spans="1:5" x14ac:dyDescent="0.25">
      <c r="A300" s="1" t="str">
        <f>"TOP BANANA GROUP UK LIMITED"</f>
        <v>TOP BANANA GROUP UK LIMITED</v>
      </c>
      <c r="B300" t="str">
        <f>"12187225"</f>
        <v>12187225</v>
      </c>
      <c r="C300" s="2" t="s">
        <v>6</v>
      </c>
      <c r="D300" s="2" t="s">
        <v>172</v>
      </c>
      <c r="E300" s="4">
        <v>45244</v>
      </c>
    </row>
    <row r="301" spans="1:5" x14ac:dyDescent="0.25">
      <c r="A301" s="1" t="str">
        <f>"THE CAVE FITNESS LTD"</f>
        <v>THE CAVE FITNESS LTD</v>
      </c>
      <c r="B301" t="str">
        <f>"11417347"</f>
        <v>11417347</v>
      </c>
      <c r="C301" s="2" t="s">
        <v>6</v>
      </c>
      <c r="D301" s="2" t="s">
        <v>9</v>
      </c>
      <c r="E301" s="4">
        <v>45230</v>
      </c>
    </row>
    <row r="302" spans="1:5" x14ac:dyDescent="0.25">
      <c r="A302" s="1" t="str">
        <f>"REDWING BUSINESS INTELLIGENCE LTD"</f>
        <v>REDWING BUSINESS INTELLIGENCE LTD</v>
      </c>
      <c r="B302" t="str">
        <f>"07379498"</f>
        <v>07379498</v>
      </c>
      <c r="C302" s="2" t="s">
        <v>6</v>
      </c>
      <c r="D302" s="2" t="s">
        <v>9</v>
      </c>
      <c r="E302" s="4">
        <v>45232</v>
      </c>
    </row>
    <row r="303" spans="1:5" x14ac:dyDescent="0.25">
      <c r="A303" s="1" t="str">
        <f>"LE PETIT PLANET LIMITED"</f>
        <v>LE PETIT PLANET LIMITED</v>
      </c>
      <c r="B303" t="str">
        <f>"13134447"</f>
        <v>13134447</v>
      </c>
      <c r="C303" s="2" t="s">
        <v>6</v>
      </c>
      <c r="D303" s="2" t="s">
        <v>9</v>
      </c>
      <c r="E303" s="4">
        <v>45233</v>
      </c>
    </row>
    <row r="304" spans="1:5" x14ac:dyDescent="0.25">
      <c r="A304" s="1" t="str">
        <f>"PAYPER TECHNOLOGIES LIMITED"</f>
        <v>PAYPER TECHNOLOGIES LIMITED</v>
      </c>
      <c r="B304" t="str">
        <f>"11868960"</f>
        <v>11868960</v>
      </c>
      <c r="C304" s="2" t="s">
        <v>6</v>
      </c>
      <c r="D304" s="2" t="s">
        <v>9</v>
      </c>
      <c r="E304" s="4">
        <v>45239</v>
      </c>
    </row>
    <row r="305" spans="1:5" x14ac:dyDescent="0.25">
      <c r="A305" s="1" t="str">
        <f>"C CARROLL LTD"</f>
        <v>C CARROLL LTD</v>
      </c>
      <c r="B305" t="str">
        <f>"08388040"</f>
        <v>08388040</v>
      </c>
      <c r="C305" s="2" t="s">
        <v>6</v>
      </c>
      <c r="D305" s="2" t="s">
        <v>9</v>
      </c>
      <c r="E305" s="4">
        <v>45239</v>
      </c>
    </row>
    <row r="306" spans="1:5" x14ac:dyDescent="0.25">
      <c r="A306" s="1" t="str">
        <f>"PLUGHIRE LTD"</f>
        <v>PLUGHIRE LTD</v>
      </c>
      <c r="B306" t="str">
        <f>"11781907"</f>
        <v>11781907</v>
      </c>
      <c r="C306" s="2" t="s">
        <v>6</v>
      </c>
      <c r="D306" s="2" t="s">
        <v>9</v>
      </c>
      <c r="E306" s="4">
        <v>45245</v>
      </c>
    </row>
    <row r="307" spans="1:5" x14ac:dyDescent="0.25">
      <c r="A307" s="1" t="str">
        <f>"MANCHESTER PRINT FINISHERS LIMITED"</f>
        <v>MANCHESTER PRINT FINISHERS LIMITED</v>
      </c>
      <c r="B307" t="str">
        <f>"04870220"</f>
        <v>04870220</v>
      </c>
      <c r="C307" s="2" t="s">
        <v>6</v>
      </c>
      <c r="D307" s="2" t="s">
        <v>9</v>
      </c>
      <c r="E307" s="4">
        <v>45245</v>
      </c>
    </row>
    <row r="308" spans="1:5" x14ac:dyDescent="0.25">
      <c r="A308" s="1" t="str">
        <f>"THE BCI GROUP HOLDINGS LTD"</f>
        <v>THE BCI GROUP HOLDINGS LTD</v>
      </c>
      <c r="B308" t="str">
        <f>"10692289"</f>
        <v>10692289</v>
      </c>
      <c r="C308" s="2" t="s">
        <v>6</v>
      </c>
      <c r="D308" s="2" t="s">
        <v>9</v>
      </c>
      <c r="E308" s="4">
        <v>45246</v>
      </c>
    </row>
    <row r="309" spans="1:5" x14ac:dyDescent="0.25">
      <c r="A309" s="1" t="s">
        <v>739</v>
      </c>
      <c r="B309">
        <v>10758059</v>
      </c>
      <c r="C309" s="2" t="s">
        <v>6</v>
      </c>
      <c r="D309" s="2" t="s">
        <v>9</v>
      </c>
      <c r="E309" s="4">
        <v>45246</v>
      </c>
    </row>
    <row r="310" spans="1:5" x14ac:dyDescent="0.25">
      <c r="A310" s="1" t="str">
        <f>"IRENE'S BREAKFAST LIMITED"</f>
        <v>IRENE'S BREAKFAST LIMITED</v>
      </c>
      <c r="B310" t="str">
        <f>"13268016"</f>
        <v>13268016</v>
      </c>
      <c r="C310" s="2" t="s">
        <v>6</v>
      </c>
      <c r="D310" s="2" t="s">
        <v>9</v>
      </c>
      <c r="E310" s="4">
        <v>45251</v>
      </c>
    </row>
    <row r="311" spans="1:5" x14ac:dyDescent="0.25">
      <c r="A311" s="1" t="str">
        <f>"BSR INSTALLATIONS LTD"</f>
        <v>BSR INSTALLATIONS LTD</v>
      </c>
      <c r="B311" t="str">
        <f>"11379162"</f>
        <v>11379162</v>
      </c>
      <c r="C311" s="2" t="s">
        <v>6</v>
      </c>
      <c r="D311" s="2" t="s">
        <v>9</v>
      </c>
      <c r="E311" s="4">
        <v>45252</v>
      </c>
    </row>
    <row r="312" spans="1:5" x14ac:dyDescent="0.25">
      <c r="A312" s="1" t="str">
        <f>"TFP (SOUTHPORT) LIMITED"</f>
        <v>TFP (SOUTHPORT) LIMITED</v>
      </c>
      <c r="B312" t="str">
        <f>"12915981"</f>
        <v>12915981</v>
      </c>
      <c r="C312" s="2" t="s">
        <v>6</v>
      </c>
      <c r="D312" s="2" t="s">
        <v>9</v>
      </c>
      <c r="E312" s="4">
        <v>45253</v>
      </c>
    </row>
    <row r="313" spans="1:5" x14ac:dyDescent="0.25">
      <c r="A313" s="1" t="str">
        <f>"PETSBITS LTD"</f>
        <v>PETSBITS LTD</v>
      </c>
      <c r="B313" t="str">
        <f>"12125469"</f>
        <v>12125469</v>
      </c>
      <c r="C313" s="2" t="s">
        <v>6</v>
      </c>
      <c r="D313" s="2" t="s">
        <v>9</v>
      </c>
      <c r="E313" s="4">
        <v>45253</v>
      </c>
    </row>
    <row r="314" spans="1:5" x14ac:dyDescent="0.25">
      <c r="A314" s="1" t="s">
        <v>434</v>
      </c>
      <c r="B314">
        <v>11645012</v>
      </c>
      <c r="C314" s="2" t="s">
        <v>6</v>
      </c>
      <c r="D314" s="2" t="s">
        <v>208</v>
      </c>
      <c r="E314" s="4">
        <v>45225</v>
      </c>
    </row>
    <row r="315" spans="1:5" x14ac:dyDescent="0.25">
      <c r="A315" s="1" t="s">
        <v>441</v>
      </c>
      <c r="B315">
        <v>11219837</v>
      </c>
      <c r="C315" s="2" t="s">
        <v>6</v>
      </c>
      <c r="D315" s="2" t="s">
        <v>208</v>
      </c>
      <c r="E315" s="4">
        <v>45229</v>
      </c>
    </row>
    <row r="316" spans="1:5" x14ac:dyDescent="0.25">
      <c r="A316" s="1" t="s">
        <v>486</v>
      </c>
      <c r="B316">
        <v>12204921</v>
      </c>
      <c r="C316" s="2" t="s">
        <v>6</v>
      </c>
      <c r="D316" s="2" t="s">
        <v>208</v>
      </c>
      <c r="E316" s="4">
        <v>45229</v>
      </c>
    </row>
    <row r="317" spans="1:5" x14ac:dyDescent="0.25">
      <c r="A317" s="1" t="s">
        <v>543</v>
      </c>
      <c r="B317">
        <v>6183539</v>
      </c>
      <c r="C317" s="2" t="s">
        <v>6</v>
      </c>
      <c r="D317" s="2" t="s">
        <v>208</v>
      </c>
      <c r="E317" s="4">
        <v>45230</v>
      </c>
    </row>
    <row r="318" spans="1:5" x14ac:dyDescent="0.25">
      <c r="A318" s="1" t="str">
        <f>"SALON NO3 LTD."</f>
        <v>SALON NO3 LTD.</v>
      </c>
      <c r="B318" t="str">
        <f>"11629014"</f>
        <v>11629014</v>
      </c>
      <c r="C318" s="2" t="s">
        <v>6</v>
      </c>
      <c r="D318" s="2" t="s">
        <v>208</v>
      </c>
      <c r="E318" s="4">
        <v>45232</v>
      </c>
    </row>
    <row r="319" spans="1:5" x14ac:dyDescent="0.25">
      <c r="A319" s="1" t="str">
        <f>"WYKE CONSTRUCTION LTD"</f>
        <v>WYKE CONSTRUCTION LTD</v>
      </c>
      <c r="B319" t="str">
        <f>"12410314"</f>
        <v>12410314</v>
      </c>
      <c r="C319" s="2" t="s">
        <v>6</v>
      </c>
      <c r="D319" s="2" t="s">
        <v>208</v>
      </c>
      <c r="E319" s="4">
        <v>45232</v>
      </c>
    </row>
    <row r="320" spans="1:5" x14ac:dyDescent="0.25">
      <c r="A320" s="1" t="str">
        <f>"ADVANCED LASER IMAGING LIMITED"</f>
        <v>ADVANCED LASER IMAGING LIMITED</v>
      </c>
      <c r="B320" t="str">
        <f>"08396101"</f>
        <v>08396101</v>
      </c>
      <c r="C320" s="2" t="s">
        <v>6</v>
      </c>
      <c r="D320" s="2" t="s">
        <v>208</v>
      </c>
      <c r="E320" s="4">
        <v>45237</v>
      </c>
    </row>
    <row r="321" spans="1:5" x14ac:dyDescent="0.25">
      <c r="A321" s="1" t="str">
        <f>"INTERIORS BY JOANNE MILLS LTD"</f>
        <v>INTERIORS BY JOANNE MILLS LTD</v>
      </c>
      <c r="B321" t="str">
        <f>"09625545"</f>
        <v>09625545</v>
      </c>
      <c r="C321" s="2" t="s">
        <v>6</v>
      </c>
      <c r="D321" s="2" t="s">
        <v>208</v>
      </c>
      <c r="E321" s="4">
        <v>45238</v>
      </c>
    </row>
    <row r="322" spans="1:5" x14ac:dyDescent="0.25">
      <c r="A322" s="1" t="str">
        <f>"ROLESHARE LIMITED"</f>
        <v>ROLESHARE LIMITED</v>
      </c>
      <c r="B322" t="str">
        <f>"10623544"</f>
        <v>10623544</v>
      </c>
      <c r="C322" s="2" t="s">
        <v>6</v>
      </c>
      <c r="D322" s="2" t="s">
        <v>208</v>
      </c>
      <c r="E322" s="4">
        <v>45238</v>
      </c>
    </row>
    <row r="323" spans="1:5" x14ac:dyDescent="0.25">
      <c r="A323" s="1" t="str">
        <f>"THREE RED PROPERTY LIMITED"</f>
        <v>THREE RED PROPERTY LIMITED</v>
      </c>
      <c r="B323" t="str">
        <f>"12202173"</f>
        <v>12202173</v>
      </c>
      <c r="C323" s="2" t="s">
        <v>6</v>
      </c>
      <c r="D323" s="2" t="s">
        <v>208</v>
      </c>
      <c r="E323" s="4">
        <v>45239</v>
      </c>
    </row>
    <row r="324" spans="1:5" x14ac:dyDescent="0.25">
      <c r="A324" s="1" t="str">
        <f>"ZAZUU HQ LTD"</f>
        <v>ZAZUU HQ LTD</v>
      </c>
      <c r="B324" t="str">
        <f>"11580949"</f>
        <v>11580949</v>
      </c>
      <c r="C324" s="2" t="s">
        <v>6</v>
      </c>
      <c r="D324" s="2" t="s">
        <v>208</v>
      </c>
      <c r="E324" s="4">
        <v>45239</v>
      </c>
    </row>
    <row r="325" spans="1:5" x14ac:dyDescent="0.25">
      <c r="A325" s="1" t="str">
        <f>"MATFIELD CONSULTING LTD"</f>
        <v>MATFIELD CONSULTING LTD</v>
      </c>
      <c r="B325" t="str">
        <f>"10469467"</f>
        <v>10469467</v>
      </c>
      <c r="C325" s="2" t="s">
        <v>6</v>
      </c>
      <c r="D325" s="2" t="s">
        <v>208</v>
      </c>
      <c r="E325" s="4">
        <v>45244</v>
      </c>
    </row>
    <row r="326" spans="1:5" x14ac:dyDescent="0.25">
      <c r="A326" s="1" t="str">
        <f>"RUISENOR LIMITED"</f>
        <v>RUISENOR LIMITED</v>
      </c>
      <c r="B326" t="str">
        <f>"06373670"</f>
        <v>06373670</v>
      </c>
      <c r="C326" s="2" t="s">
        <v>6</v>
      </c>
      <c r="D326" s="2" t="s">
        <v>208</v>
      </c>
      <c r="E326" s="4">
        <v>45251</v>
      </c>
    </row>
    <row r="327" spans="1:5" x14ac:dyDescent="0.25">
      <c r="A327" s="1" t="str">
        <f>"RANDELL LIMITED"</f>
        <v>RANDELL LIMITED</v>
      </c>
      <c r="B327" t="str">
        <f>"06287961"</f>
        <v>06287961</v>
      </c>
      <c r="C327" s="2" t="s">
        <v>6</v>
      </c>
      <c r="D327" s="2" t="s">
        <v>208</v>
      </c>
      <c r="E327" s="4">
        <v>45252</v>
      </c>
    </row>
    <row r="328" spans="1:5" x14ac:dyDescent="0.25">
      <c r="A328" s="1" t="s">
        <v>453</v>
      </c>
      <c r="B328">
        <v>11706748</v>
      </c>
      <c r="C328" s="2" t="s">
        <v>6</v>
      </c>
      <c r="D328" s="2" t="s">
        <v>58</v>
      </c>
      <c r="E328" s="4">
        <v>45217</v>
      </c>
    </row>
    <row r="329" spans="1:5" x14ac:dyDescent="0.25">
      <c r="A329" s="1" t="str">
        <f>"NORMAN &amp; UNDERWOOD (EASTERN) LIMITED"</f>
        <v>NORMAN &amp; UNDERWOOD (EASTERN) LIMITED</v>
      </c>
      <c r="B329" t="str">
        <f>"01136450"</f>
        <v>01136450</v>
      </c>
      <c r="C329" s="2" t="s">
        <v>6</v>
      </c>
      <c r="D329" s="2" t="s">
        <v>58</v>
      </c>
      <c r="E329" s="4">
        <v>45226</v>
      </c>
    </row>
    <row r="330" spans="1:5" x14ac:dyDescent="0.25">
      <c r="A330" s="1" t="str">
        <f>"GALLIBOND LIMITED"</f>
        <v>GALLIBOND LIMITED</v>
      </c>
      <c r="B330" t="str">
        <f>"10323975"</f>
        <v>10323975</v>
      </c>
      <c r="C330" s="2" t="s">
        <v>6</v>
      </c>
      <c r="D330" s="2" t="s">
        <v>58</v>
      </c>
      <c r="E330" s="4">
        <v>45229</v>
      </c>
    </row>
    <row r="331" spans="1:5" x14ac:dyDescent="0.25">
      <c r="A331" s="1" t="str">
        <f>"MYUMBRELLA LTD"</f>
        <v>MYUMBRELLA LTD</v>
      </c>
      <c r="B331" t="str">
        <f>"10621078"</f>
        <v>10621078</v>
      </c>
      <c r="C331" s="2" t="s">
        <v>6</v>
      </c>
      <c r="D331" s="2" t="s">
        <v>58</v>
      </c>
      <c r="E331" s="4">
        <v>45231</v>
      </c>
    </row>
    <row r="332" spans="1:5" x14ac:dyDescent="0.25">
      <c r="A332" s="1" t="str">
        <f>"NOMAD DESIGNERWEAR LIMITED"</f>
        <v>NOMAD DESIGNERWEAR LIMITED</v>
      </c>
      <c r="B332" t="str">
        <f>"05048756"</f>
        <v>05048756</v>
      </c>
      <c r="C332" s="2" t="s">
        <v>6</v>
      </c>
      <c r="D332" s="2" t="s">
        <v>58</v>
      </c>
      <c r="E332" s="4">
        <v>45232</v>
      </c>
    </row>
    <row r="333" spans="1:5" x14ac:dyDescent="0.25">
      <c r="A333" s="1" t="str">
        <f>"CONTRACTING PLUS DENMARK LTD"</f>
        <v>CONTRACTING PLUS DENMARK LTD</v>
      </c>
      <c r="B333" t="str">
        <f>"09114191"</f>
        <v>09114191</v>
      </c>
      <c r="C333" s="2" t="s">
        <v>6</v>
      </c>
      <c r="D333" s="2" t="s">
        <v>58</v>
      </c>
      <c r="E333" s="4">
        <v>45236</v>
      </c>
    </row>
    <row r="334" spans="1:5" x14ac:dyDescent="0.25">
      <c r="A334" s="1" t="str">
        <f>"PAULIE ST. JOHN'S WOOD LIMITED"</f>
        <v>PAULIE ST. JOHN'S WOOD LIMITED</v>
      </c>
      <c r="B334" t="str">
        <f>"08607866"</f>
        <v>08607866</v>
      </c>
      <c r="C334" s="2" t="s">
        <v>6</v>
      </c>
      <c r="D334" s="2" t="s">
        <v>58</v>
      </c>
      <c r="E334" s="4">
        <v>45237</v>
      </c>
    </row>
    <row r="335" spans="1:5" x14ac:dyDescent="0.25">
      <c r="A335" s="1" t="str">
        <f>"CHEVIOT ELECTRICAL LIMITED"</f>
        <v>CHEVIOT ELECTRICAL LIMITED</v>
      </c>
      <c r="B335" t="str">
        <f>"10349077"</f>
        <v>10349077</v>
      </c>
      <c r="C335" s="2" t="s">
        <v>6</v>
      </c>
      <c r="D335" s="2" t="s">
        <v>58</v>
      </c>
      <c r="E335" s="4">
        <v>45243</v>
      </c>
    </row>
    <row r="336" spans="1:5" x14ac:dyDescent="0.25">
      <c r="A336" s="1" t="s">
        <v>619</v>
      </c>
      <c r="B336">
        <v>7384683</v>
      </c>
      <c r="C336" s="2" t="s">
        <v>6</v>
      </c>
      <c r="D336" s="2" t="s">
        <v>58</v>
      </c>
      <c r="E336" s="4">
        <v>45243</v>
      </c>
    </row>
    <row r="337" spans="1:23" x14ac:dyDescent="0.25">
      <c r="A337" s="1" t="str">
        <f>"WARD FLOORING SOLUTIONS LIMITED"</f>
        <v>WARD FLOORING SOLUTIONS LIMITED</v>
      </c>
      <c r="B337" t="str">
        <f>"07524086"</f>
        <v>07524086</v>
      </c>
      <c r="C337" s="2" t="s">
        <v>6</v>
      </c>
      <c r="D337" s="2" t="s">
        <v>58</v>
      </c>
      <c r="E337" s="4">
        <v>45245</v>
      </c>
    </row>
    <row r="338" spans="1:23" x14ac:dyDescent="0.25">
      <c r="A338" s="1" t="str">
        <f>"DAVID A BRADLEY LIMITED"</f>
        <v>DAVID A BRADLEY LIMITED</v>
      </c>
      <c r="B338" t="str">
        <f>"02105702"</f>
        <v>02105702</v>
      </c>
      <c r="C338" s="2" t="s">
        <v>6</v>
      </c>
      <c r="D338" s="2" t="s">
        <v>58</v>
      </c>
      <c r="E338" s="4">
        <v>45245</v>
      </c>
    </row>
    <row r="339" spans="1:23" x14ac:dyDescent="0.25">
      <c r="A339" s="1" t="s">
        <v>816</v>
      </c>
      <c r="B339">
        <v>2819807</v>
      </c>
      <c r="C339" s="2" t="s">
        <v>6</v>
      </c>
      <c r="D339" s="2" t="s">
        <v>58</v>
      </c>
      <c r="E339" s="4">
        <v>45252</v>
      </c>
    </row>
    <row r="340" spans="1:23" x14ac:dyDescent="0.25">
      <c r="A340" s="1" t="str">
        <f>"ALNWICK CASTLE GOLF CLUB LTD"</f>
        <v>ALNWICK CASTLE GOLF CLUB LTD</v>
      </c>
      <c r="B340" t="str">
        <f>"13255042"</f>
        <v>13255042</v>
      </c>
      <c r="C340" s="2" t="s">
        <v>6</v>
      </c>
      <c r="D340" s="2" t="s">
        <v>58</v>
      </c>
      <c r="E340" s="4">
        <v>45253</v>
      </c>
    </row>
    <row r="341" spans="1:23" x14ac:dyDescent="0.25">
      <c r="A341" s="1" t="str">
        <f>"LCR INVESTMENTS LTD"</f>
        <v>LCR INVESTMENTS LTD</v>
      </c>
      <c r="B341" t="str">
        <f>"12244475"</f>
        <v>12244475</v>
      </c>
      <c r="C341" s="2" t="s">
        <v>6</v>
      </c>
      <c r="D341" s="2" t="s">
        <v>78</v>
      </c>
      <c r="E341" s="4">
        <v>45231</v>
      </c>
    </row>
    <row r="342" spans="1:23" x14ac:dyDescent="0.25">
      <c r="A342" s="1" t="str">
        <f>"ANSON AUTOS LIMITED"</f>
        <v>ANSON AUTOS LIMITED</v>
      </c>
      <c r="B342" t="str">
        <f>"04650630"</f>
        <v>04650630</v>
      </c>
      <c r="C342" s="2" t="s">
        <v>6</v>
      </c>
      <c r="D342" s="2" t="s">
        <v>78</v>
      </c>
      <c r="E342" s="4">
        <v>45232</v>
      </c>
    </row>
    <row r="343" spans="1:23" x14ac:dyDescent="0.25">
      <c r="A343" s="1" t="str">
        <f>"U-ESCAPE LTD"</f>
        <v>U-ESCAPE LTD</v>
      </c>
      <c r="B343" t="str">
        <f>"10432038"</f>
        <v>10432038</v>
      </c>
      <c r="C343" s="2" t="s">
        <v>6</v>
      </c>
      <c r="D343" s="2" t="s">
        <v>78</v>
      </c>
      <c r="E343" s="4">
        <v>45239</v>
      </c>
    </row>
    <row r="344" spans="1:23" x14ac:dyDescent="0.25">
      <c r="A344" s="1" t="s">
        <v>655</v>
      </c>
      <c r="B344">
        <v>13242246</v>
      </c>
      <c r="C344" s="2" t="s">
        <v>6</v>
      </c>
      <c r="D344" s="2" t="s">
        <v>78</v>
      </c>
      <c r="E344" s="4">
        <v>45246</v>
      </c>
    </row>
    <row r="345" spans="1:23" x14ac:dyDescent="0.25">
      <c r="A345" s="1" t="str">
        <f>"K BEDNALLS LTD"</f>
        <v>K BEDNALLS LTD</v>
      </c>
      <c r="B345" t="str">
        <f>"09508293"</f>
        <v>09508293</v>
      </c>
      <c r="C345" s="2" t="s">
        <v>6</v>
      </c>
      <c r="D345" s="2" t="s">
        <v>78</v>
      </c>
      <c r="E345" s="4">
        <v>45246</v>
      </c>
    </row>
    <row r="346" spans="1:23" x14ac:dyDescent="0.25">
      <c r="A346" s="1" t="str">
        <f>"EVENT MARQUEE HIRE LIMITED"</f>
        <v>EVENT MARQUEE HIRE LIMITED</v>
      </c>
      <c r="B346" t="str">
        <f>"06768727"</f>
        <v>06768727</v>
      </c>
      <c r="C346" s="2" t="s">
        <v>6</v>
      </c>
      <c r="D346" s="2" t="s">
        <v>78</v>
      </c>
      <c r="E346" s="4">
        <v>45251</v>
      </c>
    </row>
    <row r="347" spans="1:23" x14ac:dyDescent="0.25">
      <c r="A347" s="1" t="s">
        <v>472</v>
      </c>
      <c r="B347">
        <v>11085447</v>
      </c>
      <c r="C347" s="2" t="s">
        <v>6</v>
      </c>
      <c r="D347" s="2" t="s">
        <v>28</v>
      </c>
      <c r="E347" s="4">
        <v>45211</v>
      </c>
    </row>
    <row r="348" spans="1:23" x14ac:dyDescent="0.25">
      <c r="A348" s="1" t="s">
        <v>421</v>
      </c>
      <c r="B348">
        <v>14079671</v>
      </c>
      <c r="C348" s="2" t="s">
        <v>6</v>
      </c>
      <c r="D348" s="2" t="s">
        <v>28</v>
      </c>
      <c r="E348" s="4">
        <v>45218</v>
      </c>
    </row>
    <row r="349" spans="1:23" x14ac:dyDescent="0.25">
      <c r="A349" s="1" t="s">
        <v>578</v>
      </c>
      <c r="B349">
        <v>11002724</v>
      </c>
      <c r="C349" s="2" t="s">
        <v>6</v>
      </c>
      <c r="D349" s="2" t="s">
        <v>28</v>
      </c>
      <c r="E349" s="4">
        <v>45225</v>
      </c>
    </row>
    <row r="350" spans="1:23" x14ac:dyDescent="0.25">
      <c r="A350" s="1" t="str">
        <f>"MUCK AWAY SUSSEX LIMITED"</f>
        <v>MUCK AWAY SUSSEX LIMITED</v>
      </c>
      <c r="B350" t="str">
        <f>"12255937"</f>
        <v>12255937</v>
      </c>
      <c r="C350" s="2" t="s">
        <v>6</v>
      </c>
      <c r="D350" s="2" t="s">
        <v>28</v>
      </c>
      <c r="E350" s="4">
        <v>45225</v>
      </c>
    </row>
    <row r="351" spans="1:23" s="15" customFormat="1" x14ac:dyDescent="0.25">
      <c r="A351" s="1" t="str">
        <f>"YOUR PROPERTY COMPANY (UK) LTD"</f>
        <v>YOUR PROPERTY COMPANY (UK) LTD</v>
      </c>
      <c r="B351" t="str">
        <f>"10069505"</f>
        <v>10069505</v>
      </c>
      <c r="C351" s="2" t="s">
        <v>6</v>
      </c>
      <c r="D351" s="2" t="s">
        <v>28</v>
      </c>
      <c r="E351" s="4">
        <v>45225</v>
      </c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</row>
    <row r="352" spans="1:23" s="15" customFormat="1" x14ac:dyDescent="0.25">
      <c r="A352" s="1" t="str">
        <f>"THE PATCHWORK PLAYGROUND LIMITED"</f>
        <v>THE PATCHWORK PLAYGROUND LIMITED</v>
      </c>
      <c r="B352" t="str">
        <f>"12261212"</f>
        <v>12261212</v>
      </c>
      <c r="C352" s="2" t="s">
        <v>6</v>
      </c>
      <c r="D352" s="2" t="s">
        <v>28</v>
      </c>
      <c r="E352" s="4">
        <v>45230</v>
      </c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</row>
    <row r="353" spans="1:23" s="15" customFormat="1" x14ac:dyDescent="0.25">
      <c r="A353" s="1" t="str">
        <f>"NETWORK TRAINING NORTH EAST LIMITED"</f>
        <v>NETWORK TRAINING NORTH EAST LIMITED</v>
      </c>
      <c r="B353" t="str">
        <f>"05223079"</f>
        <v>05223079</v>
      </c>
      <c r="C353" s="2" t="s">
        <v>6</v>
      </c>
      <c r="D353" s="2" t="s">
        <v>28</v>
      </c>
      <c r="E353" s="4">
        <v>45232</v>
      </c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</row>
    <row r="354" spans="1:23" s="15" customFormat="1" x14ac:dyDescent="0.25">
      <c r="A354" s="1" t="str">
        <f>"BHQ CURTAINS LIMITED"</f>
        <v>BHQ CURTAINS LIMITED</v>
      </c>
      <c r="B354" t="str">
        <f>"06699154"</f>
        <v>06699154</v>
      </c>
      <c r="C354" s="2" t="s">
        <v>6</v>
      </c>
      <c r="D354" s="2" t="s">
        <v>28</v>
      </c>
      <c r="E354" s="4">
        <v>45232</v>
      </c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</row>
    <row r="355" spans="1:23" x14ac:dyDescent="0.25">
      <c r="A355" s="1" t="str">
        <f>"RJ MECHANICAL LTD"</f>
        <v>RJ MECHANICAL LTD</v>
      </c>
      <c r="B355" t="str">
        <f>"11638854"</f>
        <v>11638854</v>
      </c>
      <c r="C355" s="2" t="s">
        <v>6</v>
      </c>
      <c r="D355" s="2" t="s">
        <v>28</v>
      </c>
      <c r="E355" s="4">
        <v>45232</v>
      </c>
    </row>
    <row r="356" spans="1:23" x14ac:dyDescent="0.25">
      <c r="A356" s="1" t="str">
        <f>"FRIARS TAVERN LIMITED"</f>
        <v>FRIARS TAVERN LIMITED</v>
      </c>
      <c r="B356" t="str">
        <f>"14177726"</f>
        <v>14177726</v>
      </c>
      <c r="C356" s="2" t="s">
        <v>6</v>
      </c>
      <c r="D356" s="2" t="s">
        <v>28</v>
      </c>
      <c r="E356" s="4">
        <v>45232</v>
      </c>
    </row>
    <row r="357" spans="1:23" x14ac:dyDescent="0.25">
      <c r="A357" s="1" t="str">
        <f>"INNER CITY DIGITAL LIMITED"</f>
        <v>INNER CITY DIGITAL LIMITED</v>
      </c>
      <c r="B357" t="str">
        <f>"10328338"</f>
        <v>10328338</v>
      </c>
      <c r="C357" s="2" t="s">
        <v>6</v>
      </c>
      <c r="D357" s="2" t="s">
        <v>28</v>
      </c>
      <c r="E357" s="4">
        <v>45232</v>
      </c>
    </row>
    <row r="358" spans="1:23" x14ac:dyDescent="0.25">
      <c r="A358" s="1" t="str">
        <f>"PRITHVI CORP. LTD."</f>
        <v>PRITHVI CORP. LTD.</v>
      </c>
      <c r="B358" t="str">
        <f>"07818278"</f>
        <v>07818278</v>
      </c>
      <c r="C358" s="2" t="s">
        <v>6</v>
      </c>
      <c r="D358" s="2" t="s">
        <v>28</v>
      </c>
      <c r="E358" s="4">
        <v>45232</v>
      </c>
    </row>
    <row r="359" spans="1:23" x14ac:dyDescent="0.25">
      <c r="A359" s="1" t="str">
        <f>"THINK SECURE LTD"</f>
        <v>THINK SECURE LTD</v>
      </c>
      <c r="B359" t="str">
        <f>"10341599"</f>
        <v>10341599</v>
      </c>
      <c r="C359" s="2" t="s">
        <v>6</v>
      </c>
      <c r="D359" s="2" t="s">
        <v>28</v>
      </c>
      <c r="E359" s="4">
        <v>45232</v>
      </c>
    </row>
    <row r="360" spans="1:23" x14ac:dyDescent="0.25">
      <c r="A360" s="1" t="str">
        <f>"CALLUM WHITEHEAD HAULAGE LIMITED"</f>
        <v>CALLUM WHITEHEAD HAULAGE LIMITED</v>
      </c>
      <c r="B360" t="str">
        <f>"10485953"</f>
        <v>10485953</v>
      </c>
      <c r="C360" s="2" t="s">
        <v>6</v>
      </c>
      <c r="D360" s="2" t="s">
        <v>28</v>
      </c>
      <c r="E360" s="4">
        <v>45239</v>
      </c>
    </row>
    <row r="361" spans="1:23" x14ac:dyDescent="0.25">
      <c r="A361" s="1" t="str">
        <f>"RUBY JAMES RESTAURANTS LTD"</f>
        <v>RUBY JAMES RESTAURANTS LTD</v>
      </c>
      <c r="B361" t="str">
        <f>"11575441"</f>
        <v>11575441</v>
      </c>
      <c r="C361" s="2" t="s">
        <v>6</v>
      </c>
      <c r="D361" s="2" t="s">
        <v>28</v>
      </c>
      <c r="E361" s="4">
        <v>45239</v>
      </c>
    </row>
    <row r="362" spans="1:23" x14ac:dyDescent="0.25">
      <c r="A362" s="1" t="str">
        <f>"UNIVERSAL CONTRACT FURNITURE LIMITED"</f>
        <v>UNIVERSAL CONTRACT FURNITURE LIMITED</v>
      </c>
      <c r="B362" t="str">
        <f>"07036620"</f>
        <v>07036620</v>
      </c>
      <c r="C362" s="2" t="s">
        <v>6</v>
      </c>
      <c r="D362" s="2" t="s">
        <v>28</v>
      </c>
      <c r="E362" s="4">
        <v>45239</v>
      </c>
    </row>
    <row r="363" spans="1:23" x14ac:dyDescent="0.25">
      <c r="A363" s="1" t="str">
        <f>"VIDTALITY LTD"</f>
        <v>VIDTALITY LTD</v>
      </c>
      <c r="B363" t="str">
        <f>"10015045"</f>
        <v>10015045</v>
      </c>
      <c r="C363" s="2" t="s">
        <v>6</v>
      </c>
      <c r="D363" s="2" t="s">
        <v>28</v>
      </c>
      <c r="E363" s="4">
        <v>45239</v>
      </c>
    </row>
    <row r="364" spans="1:23" x14ac:dyDescent="0.25">
      <c r="A364" s="1" t="s">
        <v>735</v>
      </c>
      <c r="B364" t="s">
        <v>736</v>
      </c>
      <c r="C364" s="2" t="s">
        <v>6</v>
      </c>
      <c r="D364" s="2" t="s">
        <v>28</v>
      </c>
      <c r="E364" s="4">
        <v>45246</v>
      </c>
    </row>
    <row r="365" spans="1:23" x14ac:dyDescent="0.25">
      <c r="A365" s="1" t="s">
        <v>781</v>
      </c>
      <c r="B365" t="s">
        <v>782</v>
      </c>
      <c r="C365" s="2" t="s">
        <v>6</v>
      </c>
      <c r="D365" s="2" t="s">
        <v>28</v>
      </c>
      <c r="E365" s="4">
        <v>45246</v>
      </c>
    </row>
    <row r="366" spans="1:23" x14ac:dyDescent="0.25">
      <c r="A366" s="1" t="s">
        <v>764</v>
      </c>
      <c r="B366" t="s">
        <v>765</v>
      </c>
      <c r="C366" s="2" t="s">
        <v>6</v>
      </c>
      <c r="D366" s="2" t="s">
        <v>28</v>
      </c>
      <c r="E366" s="4">
        <v>45246</v>
      </c>
    </row>
    <row r="367" spans="1:23" x14ac:dyDescent="0.25">
      <c r="A367" s="1" t="str">
        <f>"L.E.G CONSULTING LIMITED"</f>
        <v>L.E.G CONSULTING LIMITED</v>
      </c>
      <c r="B367" t="str">
        <f>"12346070"</f>
        <v>12346070</v>
      </c>
      <c r="C367" s="2" t="s">
        <v>6</v>
      </c>
      <c r="D367" s="2" t="s">
        <v>28</v>
      </c>
      <c r="E367" s="4">
        <v>45246</v>
      </c>
    </row>
    <row r="368" spans="1:23" x14ac:dyDescent="0.25">
      <c r="A368" s="1" t="str">
        <f>"THE GOLDEN LION PUDSEY LTD"</f>
        <v>THE GOLDEN LION PUDSEY LTD</v>
      </c>
      <c r="B368" t="str">
        <f>"11488915"</f>
        <v>11488915</v>
      </c>
      <c r="C368" s="2" t="s">
        <v>6</v>
      </c>
      <c r="D368" s="2" t="s">
        <v>28</v>
      </c>
      <c r="E368" s="4">
        <v>45246</v>
      </c>
    </row>
    <row r="369" spans="1:5" x14ac:dyDescent="0.25">
      <c r="A369" s="1" t="str">
        <f>"FURNITURE EXPRESS STOCKTON LTD"</f>
        <v>FURNITURE EXPRESS STOCKTON LTD</v>
      </c>
      <c r="B369" t="str">
        <f>"08471663"</f>
        <v>08471663</v>
      </c>
      <c r="C369" s="2" t="s">
        <v>6</v>
      </c>
      <c r="D369" s="2" t="s">
        <v>28</v>
      </c>
      <c r="E369" s="4">
        <v>45246</v>
      </c>
    </row>
    <row r="370" spans="1:5" x14ac:dyDescent="0.25">
      <c r="A370" s="1" t="str">
        <f>"PRO-ACTIVE SAFETY LIMITED"</f>
        <v>PRO-ACTIVE SAFETY LIMITED</v>
      </c>
      <c r="B370" t="str">
        <f>"09343361"</f>
        <v>09343361</v>
      </c>
      <c r="C370" s="2" t="s">
        <v>6</v>
      </c>
      <c r="D370" s="2" t="s">
        <v>28</v>
      </c>
      <c r="E370" s="4">
        <v>45253</v>
      </c>
    </row>
    <row r="371" spans="1:5" x14ac:dyDescent="0.25">
      <c r="A371" s="1" t="str">
        <f>"HURRYAIM LIMITED"</f>
        <v>HURRYAIM LIMITED</v>
      </c>
      <c r="B371" t="str">
        <f>"02006835"</f>
        <v>02006835</v>
      </c>
      <c r="C371" s="2" t="s">
        <v>6</v>
      </c>
      <c r="D371" s="2" t="s">
        <v>28</v>
      </c>
      <c r="E371" s="4">
        <v>45253</v>
      </c>
    </row>
    <row r="372" spans="1:5" x14ac:dyDescent="0.25">
      <c r="A372" s="1" t="str">
        <f>"SMART RENEWABLE SERVICES LIMITED"</f>
        <v>SMART RENEWABLE SERVICES LIMITED</v>
      </c>
      <c r="B372" t="str">
        <f>"11510656"</f>
        <v>11510656</v>
      </c>
      <c r="C372" s="2" t="s">
        <v>6</v>
      </c>
      <c r="D372" s="2" t="s">
        <v>28</v>
      </c>
      <c r="E372" s="4">
        <v>45253</v>
      </c>
    </row>
    <row r="373" spans="1:5" x14ac:dyDescent="0.25">
      <c r="A373" s="1" t="s">
        <v>394</v>
      </c>
      <c r="B373">
        <v>11210516</v>
      </c>
      <c r="C373" s="2" t="s">
        <v>6</v>
      </c>
      <c r="D373" s="2" t="s">
        <v>79</v>
      </c>
      <c r="E373" s="4">
        <v>45224</v>
      </c>
    </row>
    <row r="374" spans="1:5" x14ac:dyDescent="0.25">
      <c r="A374" s="1" t="str">
        <f>"DBS (YORK) LIMITED"</f>
        <v>DBS (YORK) LIMITED</v>
      </c>
      <c r="B374" t="str">
        <f>"04671714"</f>
        <v>04671714</v>
      </c>
      <c r="C374" s="2" t="s">
        <v>6</v>
      </c>
      <c r="D374" s="2" t="s">
        <v>79</v>
      </c>
      <c r="E374" s="4">
        <v>45233</v>
      </c>
    </row>
    <row r="375" spans="1:5" x14ac:dyDescent="0.25">
      <c r="A375" s="1" t="str">
        <f>"HACIS PLACE (YORK) LTD"</f>
        <v>HACIS PLACE (YORK) LTD</v>
      </c>
      <c r="B375" t="str">
        <f>"12342775"</f>
        <v>12342775</v>
      </c>
      <c r="C375" s="2" t="s">
        <v>6</v>
      </c>
      <c r="D375" s="2" t="s">
        <v>79</v>
      </c>
      <c r="E375" s="4">
        <v>45244</v>
      </c>
    </row>
    <row r="376" spans="1:5" x14ac:dyDescent="0.25">
      <c r="A376" s="1" t="str">
        <f>"QUADROPLAY UK LTD"</f>
        <v>QUADROPLAY UK LTD</v>
      </c>
      <c r="B376" t="str">
        <f>"07702651"</f>
        <v>07702651</v>
      </c>
      <c r="C376" s="2" t="s">
        <v>6</v>
      </c>
      <c r="D376" s="2" t="s">
        <v>79</v>
      </c>
      <c r="E376" s="4">
        <v>45245</v>
      </c>
    </row>
    <row r="377" spans="1:5" x14ac:dyDescent="0.25">
      <c r="A377" s="1" t="str">
        <f>"WHITEHALL HARDWARE LIMITED"</f>
        <v>WHITEHALL HARDWARE LIMITED</v>
      </c>
      <c r="B377" t="str">
        <f>"04736505"</f>
        <v>04736505</v>
      </c>
      <c r="C377" s="2" t="s">
        <v>6</v>
      </c>
      <c r="D377" s="2" t="s">
        <v>79</v>
      </c>
      <c r="E377" s="4">
        <v>45246</v>
      </c>
    </row>
    <row r="378" spans="1:5" x14ac:dyDescent="0.25">
      <c r="A378" s="1" t="str">
        <f>"JUST GLASS LIMITED"</f>
        <v>JUST GLASS LIMITED</v>
      </c>
      <c r="B378" t="str">
        <f>"11291348"</f>
        <v>11291348</v>
      </c>
      <c r="C378" s="2" t="s">
        <v>29</v>
      </c>
      <c r="D378" s="2" t="s">
        <v>30</v>
      </c>
      <c r="E378" s="4">
        <v>45212</v>
      </c>
    </row>
    <row r="379" spans="1:5" x14ac:dyDescent="0.25">
      <c r="A379" s="1" t="str">
        <f>"THE RS PUB MORDEN LTD"</f>
        <v>THE RS PUB MORDEN LTD</v>
      </c>
      <c r="B379" t="str">
        <f>"10578917"</f>
        <v>10578917</v>
      </c>
      <c r="C379" s="2" t="s">
        <v>29</v>
      </c>
      <c r="D379" s="2" t="s">
        <v>30</v>
      </c>
      <c r="E379" s="4">
        <v>45239</v>
      </c>
    </row>
    <row r="380" spans="1:5" x14ac:dyDescent="0.25">
      <c r="A380" s="1" t="str">
        <f>"CANADIAN CHARCOAL (CHEADLE) LIMITED"</f>
        <v>CANADIAN CHARCOAL (CHEADLE) LIMITED</v>
      </c>
      <c r="B380" t="str">
        <f>"11542283"</f>
        <v>11542283</v>
      </c>
      <c r="C380" s="2" t="s">
        <v>29</v>
      </c>
      <c r="D380" s="2" t="s">
        <v>30</v>
      </c>
      <c r="E380" s="4">
        <v>45239</v>
      </c>
    </row>
    <row r="381" spans="1:5" x14ac:dyDescent="0.25">
      <c r="A381" s="1" t="s">
        <v>665</v>
      </c>
      <c r="B381">
        <v>8314306</v>
      </c>
      <c r="C381" s="2" t="s">
        <v>29</v>
      </c>
      <c r="D381" s="2" t="s">
        <v>30</v>
      </c>
      <c r="E381" s="4">
        <v>45247</v>
      </c>
    </row>
    <row r="382" spans="1:5" x14ac:dyDescent="0.25">
      <c r="A382" s="1" t="s">
        <v>800</v>
      </c>
      <c r="B382">
        <v>12142935</v>
      </c>
      <c r="C382" s="2" t="s">
        <v>29</v>
      </c>
      <c r="D382" s="2" t="s">
        <v>30</v>
      </c>
      <c r="E382" s="4">
        <v>45247</v>
      </c>
    </row>
    <row r="383" spans="1:5" x14ac:dyDescent="0.25">
      <c r="A383" s="1" t="str">
        <f>"CDA TOP TRANS LTD"</f>
        <v>CDA TOP TRANS LTD</v>
      </c>
      <c r="B383" t="str">
        <f>"12821576"</f>
        <v>12821576</v>
      </c>
      <c r="C383" s="2" t="s">
        <v>324</v>
      </c>
      <c r="D383" s="2" t="s">
        <v>325</v>
      </c>
      <c r="E383" s="4">
        <v>45202</v>
      </c>
    </row>
    <row r="384" spans="1:5" x14ac:dyDescent="0.25">
      <c r="A384" s="1" t="s">
        <v>489</v>
      </c>
      <c r="B384">
        <v>9739290</v>
      </c>
      <c r="C384" s="2" t="s">
        <v>324</v>
      </c>
      <c r="D384" s="2" t="s">
        <v>325</v>
      </c>
      <c r="E384" s="4">
        <v>45229</v>
      </c>
    </row>
    <row r="385" spans="1:5" x14ac:dyDescent="0.25">
      <c r="A385" s="1" t="s">
        <v>653</v>
      </c>
      <c r="B385">
        <v>13755878</v>
      </c>
      <c r="C385" s="2" t="s">
        <v>324</v>
      </c>
      <c r="D385" s="2" t="s">
        <v>325</v>
      </c>
      <c r="E385" s="4">
        <v>45247</v>
      </c>
    </row>
    <row r="386" spans="1:5" x14ac:dyDescent="0.25">
      <c r="A386" s="1" t="s">
        <v>722</v>
      </c>
      <c r="B386" t="s">
        <v>723</v>
      </c>
      <c r="C386" s="2" t="s">
        <v>324</v>
      </c>
      <c r="D386" s="2" t="s">
        <v>325</v>
      </c>
      <c r="E386" s="4">
        <v>45247</v>
      </c>
    </row>
    <row r="387" spans="1:5" x14ac:dyDescent="0.25">
      <c r="A387" s="1" t="str">
        <f>"OWL HOLDINGS GROUP LTD"</f>
        <v>OWL HOLDINGS GROUP LTD</v>
      </c>
      <c r="B387" t="str">
        <f>"10344278"</f>
        <v>10344278</v>
      </c>
      <c r="C387" s="2" t="s">
        <v>324</v>
      </c>
      <c r="D387" s="2" t="s">
        <v>325</v>
      </c>
      <c r="E387" s="4">
        <v>45254</v>
      </c>
    </row>
    <row r="388" spans="1:5" x14ac:dyDescent="0.25">
      <c r="A388" s="1" t="s">
        <v>415</v>
      </c>
      <c r="B388">
        <v>12214667</v>
      </c>
      <c r="C388" s="2" t="s">
        <v>179</v>
      </c>
      <c r="D388" s="2" t="s">
        <v>180</v>
      </c>
      <c r="E388" s="4">
        <v>45225</v>
      </c>
    </row>
    <row r="389" spans="1:5" x14ac:dyDescent="0.25">
      <c r="A389" s="1" t="s">
        <v>668</v>
      </c>
      <c r="B389">
        <v>11312727</v>
      </c>
      <c r="C389" s="2" t="s">
        <v>179</v>
      </c>
      <c r="D389" s="2" t="s">
        <v>180</v>
      </c>
      <c r="E389" s="4">
        <v>45246</v>
      </c>
    </row>
    <row r="390" spans="1:5" x14ac:dyDescent="0.25">
      <c r="A390" s="1" t="str">
        <f>"WEBSTER POOLS LTD"</f>
        <v>WEBSTER POOLS LTD</v>
      </c>
      <c r="B390" t="str">
        <f>"09150922"</f>
        <v>09150922</v>
      </c>
      <c r="C390" s="2" t="s">
        <v>332</v>
      </c>
      <c r="D390" s="2" t="s">
        <v>75</v>
      </c>
      <c r="E390" s="4">
        <v>45229</v>
      </c>
    </row>
    <row r="391" spans="1:5" x14ac:dyDescent="0.25">
      <c r="A391" s="1" t="str">
        <f>"ODD KIN COFFEE ROASTERS LIMITED"</f>
        <v>ODD KIN COFFEE ROASTERS LIMITED</v>
      </c>
      <c r="B391" t="str">
        <f>"09854333"</f>
        <v>09854333</v>
      </c>
      <c r="C391" s="2" t="s">
        <v>332</v>
      </c>
      <c r="D391" s="2" t="s">
        <v>75</v>
      </c>
      <c r="E391" s="4">
        <v>45243</v>
      </c>
    </row>
    <row r="392" spans="1:5" x14ac:dyDescent="0.25">
      <c r="A392" s="1" t="str">
        <f>"MALFORDS LIMITED"</f>
        <v>MALFORDS LIMITED</v>
      </c>
      <c r="B392" t="str">
        <f>"06686285"</f>
        <v>06686285</v>
      </c>
      <c r="C392" s="2" t="s">
        <v>255</v>
      </c>
      <c r="D392" s="2" t="s">
        <v>39</v>
      </c>
      <c r="E392" s="4">
        <v>45229</v>
      </c>
    </row>
    <row r="393" spans="1:5" x14ac:dyDescent="0.25">
      <c r="A393" s="1" t="str">
        <f>"RAJA TRANSPORT LTD"</f>
        <v>RAJA TRANSPORT LTD</v>
      </c>
      <c r="B393" t="str">
        <f>"11272834"</f>
        <v>11272834</v>
      </c>
      <c r="C393" s="2" t="s">
        <v>255</v>
      </c>
      <c r="D393" s="2" t="s">
        <v>39</v>
      </c>
      <c r="E393" s="4">
        <v>45230</v>
      </c>
    </row>
    <row r="394" spans="1:5" x14ac:dyDescent="0.25">
      <c r="A394" s="1" t="str">
        <f>"ESS VEE APPAREL LTD"</f>
        <v>ESS VEE APPAREL LTD</v>
      </c>
      <c r="B394" t="str">
        <f>"11374692"</f>
        <v>11374692</v>
      </c>
      <c r="C394" s="2" t="s">
        <v>255</v>
      </c>
      <c r="D394" s="2" t="s">
        <v>39</v>
      </c>
      <c r="E394" s="4">
        <v>45244</v>
      </c>
    </row>
    <row r="395" spans="1:5" x14ac:dyDescent="0.25">
      <c r="A395" s="1" t="str">
        <f>"PETER ROGAN &amp; ASSOCIATES LIMITED"</f>
        <v>PETER ROGAN &amp; ASSOCIATES LIMITED</v>
      </c>
      <c r="B395" t="str">
        <f>"09528343"</f>
        <v>09528343</v>
      </c>
      <c r="C395" s="2" t="s">
        <v>255</v>
      </c>
      <c r="D395" s="2" t="s">
        <v>39</v>
      </c>
      <c r="E395" s="4">
        <v>45245</v>
      </c>
    </row>
    <row r="396" spans="1:5" x14ac:dyDescent="0.25">
      <c r="A396" s="1" t="s">
        <v>827</v>
      </c>
      <c r="B396">
        <v>12435404</v>
      </c>
      <c r="C396" s="2" t="s">
        <v>255</v>
      </c>
      <c r="D396" s="2" t="s">
        <v>39</v>
      </c>
      <c r="E396" s="4">
        <v>45254</v>
      </c>
    </row>
    <row r="397" spans="1:5" x14ac:dyDescent="0.25">
      <c r="A397" s="1" t="str">
        <f>"B2 AUTOMOTIVE COMPONENTS LIMITED"</f>
        <v>B2 AUTOMOTIVE COMPONENTS LIMITED</v>
      </c>
      <c r="B397" t="str">
        <f>"04476230"</f>
        <v>04476230</v>
      </c>
      <c r="C397" s="2" t="s">
        <v>91</v>
      </c>
      <c r="D397" s="2" t="s">
        <v>92</v>
      </c>
      <c r="E397" s="4">
        <v>45243</v>
      </c>
    </row>
    <row r="398" spans="1:5" x14ac:dyDescent="0.25">
      <c r="A398" s="1" t="str">
        <f>"MADE SOCIAL INNS LIMITED"</f>
        <v>MADE SOCIAL INNS LIMITED</v>
      </c>
      <c r="B398" t="str">
        <f>"11154676"</f>
        <v>11154676</v>
      </c>
      <c r="C398" s="2" t="s">
        <v>91</v>
      </c>
      <c r="D398" s="2" t="s">
        <v>92</v>
      </c>
      <c r="E398" s="4">
        <v>45245</v>
      </c>
    </row>
    <row r="399" spans="1:5" x14ac:dyDescent="0.25">
      <c r="A399" s="1" t="str">
        <f>"ADPERFORM LIMITED"</f>
        <v>ADPERFORM LIMITED</v>
      </c>
      <c r="B399" t="str">
        <f>"09046595"</f>
        <v>09046595</v>
      </c>
      <c r="C399" s="2" t="s">
        <v>91</v>
      </c>
      <c r="D399" s="2" t="s">
        <v>287</v>
      </c>
      <c r="E399" s="4">
        <v>45252</v>
      </c>
    </row>
    <row r="400" spans="1:5" x14ac:dyDescent="0.25">
      <c r="A400" s="1" t="str">
        <f>"GLOBAL NORTH LTD"</f>
        <v>GLOBAL NORTH LTD</v>
      </c>
      <c r="B400" t="str">
        <f>"08281944"</f>
        <v>08281944</v>
      </c>
      <c r="C400" s="2" t="s">
        <v>151</v>
      </c>
      <c r="D400" s="2" t="s">
        <v>152</v>
      </c>
      <c r="E400" s="4">
        <v>45230</v>
      </c>
    </row>
    <row r="401" spans="1:5" x14ac:dyDescent="0.25">
      <c r="A401" s="1" t="str">
        <f>"SUPERIOR WIRE PRODUCTS LTD"</f>
        <v>SUPERIOR WIRE PRODUCTS LTD</v>
      </c>
      <c r="B401" t="str">
        <f>"08578148"</f>
        <v>08578148</v>
      </c>
      <c r="C401" s="2" t="s">
        <v>151</v>
      </c>
      <c r="D401" s="2" t="s">
        <v>152</v>
      </c>
      <c r="E401" s="4">
        <v>45240</v>
      </c>
    </row>
    <row r="402" spans="1:5" x14ac:dyDescent="0.25">
      <c r="A402" s="1" t="str">
        <f>"RLI PLUMBING AND HEATING LIMITED"</f>
        <v>RLI PLUMBING AND HEATING LIMITED</v>
      </c>
      <c r="B402" t="str">
        <f>"11559615"</f>
        <v>11559615</v>
      </c>
      <c r="C402" s="2" t="s">
        <v>151</v>
      </c>
      <c r="D402" s="2" t="s">
        <v>152</v>
      </c>
      <c r="E402" s="4">
        <v>45244</v>
      </c>
    </row>
    <row r="403" spans="1:5" x14ac:dyDescent="0.25">
      <c r="A403" s="1" t="str">
        <f>"UNITED SECURITY LIMITED"</f>
        <v>UNITED SECURITY LIMITED</v>
      </c>
      <c r="B403" t="str">
        <f>"11022614"</f>
        <v>11022614</v>
      </c>
      <c r="C403" s="2" t="s">
        <v>151</v>
      </c>
      <c r="D403" s="2" t="s">
        <v>152</v>
      </c>
      <c r="E403" s="4">
        <v>45252</v>
      </c>
    </row>
    <row r="404" spans="1:5" x14ac:dyDescent="0.25">
      <c r="A404" s="1" t="s">
        <v>530</v>
      </c>
      <c r="B404">
        <v>3898675</v>
      </c>
      <c r="C404" s="2" t="s">
        <v>118</v>
      </c>
      <c r="D404" s="2" t="s">
        <v>119</v>
      </c>
      <c r="E404" s="4">
        <v>45229</v>
      </c>
    </row>
    <row r="405" spans="1:5" x14ac:dyDescent="0.25">
      <c r="A405" s="1" t="s">
        <v>631</v>
      </c>
      <c r="B405">
        <v>3794675</v>
      </c>
      <c r="C405" s="2" t="s">
        <v>118</v>
      </c>
      <c r="D405" s="2" t="s">
        <v>119</v>
      </c>
      <c r="E405" s="4">
        <v>45247</v>
      </c>
    </row>
    <row r="406" spans="1:5" x14ac:dyDescent="0.25">
      <c r="A406" s="1" t="str">
        <f>"DUKES CONSTRUCTION LTD"</f>
        <v>DUKES CONSTRUCTION LTD</v>
      </c>
      <c r="B406" t="str">
        <f>"12105501"</f>
        <v>12105501</v>
      </c>
      <c r="C406" s="2" t="s">
        <v>118</v>
      </c>
      <c r="D406" s="2" t="s">
        <v>119</v>
      </c>
      <c r="E406" s="4">
        <v>45251</v>
      </c>
    </row>
    <row r="407" spans="1:5" x14ac:dyDescent="0.25">
      <c r="A407" s="1" t="str">
        <f>"MALCOLM CHARLES CONTRACTS LTD."</f>
        <v>MALCOLM CHARLES CONTRACTS LTD.</v>
      </c>
      <c r="B407" t="str">
        <f>"07016208"</f>
        <v>07016208</v>
      </c>
      <c r="C407" s="2" t="s">
        <v>118</v>
      </c>
      <c r="D407" s="2" t="s">
        <v>119</v>
      </c>
      <c r="E407" s="4">
        <v>45252</v>
      </c>
    </row>
    <row r="408" spans="1:5" x14ac:dyDescent="0.25">
      <c r="A408" s="1" t="s">
        <v>808</v>
      </c>
      <c r="B408">
        <v>12203795</v>
      </c>
      <c r="C408" s="2" t="s">
        <v>118</v>
      </c>
      <c r="D408" s="2" t="s">
        <v>119</v>
      </c>
      <c r="E408" s="4">
        <v>45253</v>
      </c>
    </row>
    <row r="409" spans="1:5" x14ac:dyDescent="0.25">
      <c r="A409" s="1" t="str">
        <f>"COVENTRY ENGINEERING SOLUTIONS LIMITED"</f>
        <v>COVENTRY ENGINEERING SOLUTIONS LIMITED</v>
      </c>
      <c r="B409" t="str">
        <f>"05857181"</f>
        <v>05857181</v>
      </c>
      <c r="C409" s="2" t="s">
        <v>113</v>
      </c>
      <c r="D409" s="2" t="s">
        <v>92</v>
      </c>
      <c r="E409" s="4">
        <v>45236</v>
      </c>
    </row>
    <row r="410" spans="1:5" x14ac:dyDescent="0.25">
      <c r="A410" s="1" t="str">
        <f>"M BUCKINGHAM &amp; COMPANY LIMITED"</f>
        <v>M BUCKINGHAM &amp; COMPANY LIMITED</v>
      </c>
      <c r="B410" t="str">
        <f>"06786114"</f>
        <v>06786114</v>
      </c>
      <c r="C410" s="2" t="s">
        <v>113</v>
      </c>
      <c r="D410" s="2" t="s">
        <v>103</v>
      </c>
      <c r="E410" s="4">
        <v>45232</v>
      </c>
    </row>
    <row r="411" spans="1:5" x14ac:dyDescent="0.25">
      <c r="A411" s="1" t="str">
        <f>"PLUS ONE (RECRUITMENT) LTD"</f>
        <v>PLUS ONE (RECRUITMENT) LTD</v>
      </c>
      <c r="B411" t="str">
        <f>"05456195"</f>
        <v>05456195</v>
      </c>
      <c r="C411" s="2" t="s">
        <v>113</v>
      </c>
      <c r="D411" s="2" t="s">
        <v>103</v>
      </c>
      <c r="E411" s="4">
        <v>45246</v>
      </c>
    </row>
    <row r="412" spans="1:5" x14ac:dyDescent="0.25">
      <c r="A412" s="1" t="str">
        <f>"DJ LINGERIE LIMITED"</f>
        <v>DJ LINGERIE LIMITED</v>
      </c>
      <c r="B412" t="str">
        <f>"08993733"</f>
        <v>08993733</v>
      </c>
      <c r="C412" s="2" t="s">
        <v>113</v>
      </c>
      <c r="D412" s="2" t="s">
        <v>103</v>
      </c>
      <c r="E412" s="4">
        <v>45251</v>
      </c>
    </row>
    <row r="413" spans="1:5" x14ac:dyDescent="0.25">
      <c r="A413" s="1" t="s">
        <v>503</v>
      </c>
      <c r="B413">
        <v>9686965</v>
      </c>
      <c r="C413" s="2" t="s">
        <v>113</v>
      </c>
      <c r="D413" s="2" t="s">
        <v>114</v>
      </c>
      <c r="E413" s="4">
        <v>45218</v>
      </c>
    </row>
    <row r="414" spans="1:5" x14ac:dyDescent="0.25">
      <c r="A414" s="1" t="str">
        <f>"CMECS LIMITED"</f>
        <v>CMECS LIMITED</v>
      </c>
      <c r="B414" t="str">
        <f>"04865655"</f>
        <v>04865655</v>
      </c>
      <c r="C414" s="2" t="s">
        <v>113</v>
      </c>
      <c r="D414" s="2" t="s">
        <v>114</v>
      </c>
      <c r="E414" s="4">
        <v>45239</v>
      </c>
    </row>
    <row r="415" spans="1:5" x14ac:dyDescent="0.25">
      <c r="A415" s="1" t="str">
        <f>"ENCON MAINTAIN LTD"</f>
        <v>ENCON MAINTAIN LTD</v>
      </c>
      <c r="B415" t="str">
        <f>"07789000"</f>
        <v>07789000</v>
      </c>
      <c r="C415" s="2" t="s">
        <v>113</v>
      </c>
      <c r="D415" s="2" t="s">
        <v>114</v>
      </c>
      <c r="E415" s="4">
        <v>45250</v>
      </c>
    </row>
    <row r="416" spans="1:5" x14ac:dyDescent="0.25">
      <c r="A416" s="1" t="str">
        <f>"BALMORAL WINDOWS (BANBURY) LTD"</f>
        <v>BALMORAL WINDOWS (BANBURY) LTD</v>
      </c>
      <c r="B416" t="str">
        <f>"08233361"</f>
        <v>08233361</v>
      </c>
      <c r="C416" s="2" t="s">
        <v>113</v>
      </c>
      <c r="D416" s="2" t="s">
        <v>114</v>
      </c>
      <c r="E416" s="4">
        <v>45253</v>
      </c>
    </row>
    <row r="417" spans="1:5" x14ac:dyDescent="0.25">
      <c r="A417" s="1" t="s">
        <v>429</v>
      </c>
      <c r="B417">
        <v>12140387</v>
      </c>
      <c r="C417" s="2" t="s">
        <v>203</v>
      </c>
      <c r="D417" s="2" t="s">
        <v>180</v>
      </c>
      <c r="E417" s="4">
        <v>45229</v>
      </c>
    </row>
    <row r="418" spans="1:5" x14ac:dyDescent="0.25">
      <c r="A418" s="1" t="str">
        <f>"SILHOUETTE HAIR LTD"</f>
        <v>SILHOUETTE HAIR LTD</v>
      </c>
      <c r="B418" t="str">
        <f>"11240935"</f>
        <v>11240935</v>
      </c>
      <c r="C418" s="2" t="s">
        <v>203</v>
      </c>
      <c r="D418" s="2" t="s">
        <v>180</v>
      </c>
      <c r="E418" s="4">
        <v>45238</v>
      </c>
    </row>
    <row r="419" spans="1:5" x14ac:dyDescent="0.25">
      <c r="A419" s="1" t="s">
        <v>604</v>
      </c>
      <c r="B419" t="str">
        <f>"01069111"</f>
        <v>01069111</v>
      </c>
      <c r="C419" s="2" t="s">
        <v>203</v>
      </c>
      <c r="D419" s="2" t="s">
        <v>180</v>
      </c>
      <c r="E419" s="4">
        <v>45240</v>
      </c>
    </row>
    <row r="420" spans="1:5" x14ac:dyDescent="0.25">
      <c r="A420" s="1" t="str">
        <f>"AIRE MANAGEMENT LTD"</f>
        <v>AIRE MANAGEMENT LTD</v>
      </c>
      <c r="B420" t="str">
        <f>"07353403"</f>
        <v>07353403</v>
      </c>
      <c r="C420" s="2" t="s">
        <v>38</v>
      </c>
      <c r="D420" s="2" t="s">
        <v>39</v>
      </c>
      <c r="E420" s="4">
        <v>45230</v>
      </c>
    </row>
    <row r="421" spans="1:5" x14ac:dyDescent="0.25">
      <c r="A421" s="1" t="str">
        <f>"D &amp; B OILS AND SUPPLIES LIMITED"</f>
        <v>D &amp; B OILS AND SUPPLIES LIMITED</v>
      </c>
      <c r="B421" t="str">
        <f>"08555515"</f>
        <v>08555515</v>
      </c>
      <c r="C421" s="2" t="s">
        <v>38</v>
      </c>
      <c r="D421" s="2" t="s">
        <v>39</v>
      </c>
      <c r="E421" s="4">
        <v>45236</v>
      </c>
    </row>
    <row r="422" spans="1:5" x14ac:dyDescent="0.25">
      <c r="A422" s="1" t="str">
        <f>"NEW SAI SPICE (BOLTON) LTD"</f>
        <v>NEW SAI SPICE (BOLTON) LTD</v>
      </c>
      <c r="B422" t="str">
        <f>"09554403"</f>
        <v>09554403</v>
      </c>
      <c r="C422" s="2" t="s">
        <v>38</v>
      </c>
      <c r="D422" s="2" t="s">
        <v>39</v>
      </c>
      <c r="E422" s="4">
        <v>45239</v>
      </c>
    </row>
    <row r="423" spans="1:5" x14ac:dyDescent="0.25">
      <c r="A423" s="1" t="str">
        <f>"AURIS REFERENCE LIMITED"</f>
        <v>AURIS REFERENCE LIMITED</v>
      </c>
      <c r="B423" t="str">
        <f>"07835490"</f>
        <v>07835490</v>
      </c>
      <c r="C423" s="2" t="s">
        <v>38</v>
      </c>
      <c r="D423" s="2" t="s">
        <v>39</v>
      </c>
      <c r="E423" s="4">
        <v>45240</v>
      </c>
    </row>
    <row r="424" spans="1:5" x14ac:dyDescent="0.25">
      <c r="A424" s="1" t="str">
        <f>"BARI PIZZERIA LTD"</f>
        <v>BARI PIZZERIA LTD</v>
      </c>
      <c r="B424" t="str">
        <f>"12028333"</f>
        <v>12028333</v>
      </c>
      <c r="C424" s="2" t="s">
        <v>38</v>
      </c>
      <c r="D424" s="2" t="s">
        <v>39</v>
      </c>
      <c r="E424" s="4">
        <v>45243</v>
      </c>
    </row>
    <row r="425" spans="1:5" x14ac:dyDescent="0.25">
      <c r="A425" s="1" t="s">
        <v>795</v>
      </c>
      <c r="B425">
        <v>14140969</v>
      </c>
      <c r="C425" s="2" t="s">
        <v>38</v>
      </c>
      <c r="D425" s="2" t="s">
        <v>39</v>
      </c>
      <c r="E425" s="4">
        <v>45247</v>
      </c>
    </row>
    <row r="426" spans="1:5" x14ac:dyDescent="0.25">
      <c r="A426" s="1" t="str">
        <f>"RENZ RESTAURANTS LTD"</f>
        <v>RENZ RESTAURANTS LTD</v>
      </c>
      <c r="B426" t="str">
        <f>"09006169"</f>
        <v>09006169</v>
      </c>
      <c r="C426" s="2" t="s">
        <v>38</v>
      </c>
      <c r="D426" s="2" t="s">
        <v>39</v>
      </c>
      <c r="E426" s="4">
        <v>45252</v>
      </c>
    </row>
    <row r="427" spans="1:5" x14ac:dyDescent="0.25">
      <c r="A427" s="1" t="str">
        <f>"LISTER BELL LIMITED"</f>
        <v>LISTER BELL LIMITED</v>
      </c>
      <c r="B427" t="str">
        <f>"02453135"</f>
        <v>02453135</v>
      </c>
      <c r="C427" s="2" t="s">
        <v>38</v>
      </c>
      <c r="D427" s="2" t="s">
        <v>39</v>
      </c>
      <c r="E427" s="4">
        <v>45254</v>
      </c>
    </row>
    <row r="428" spans="1:5" x14ac:dyDescent="0.25">
      <c r="A428" s="1" t="str">
        <f>"DELI 100 LTD"</f>
        <v>DELI 100 LTD</v>
      </c>
      <c r="B428" t="str">
        <f>"11885423"</f>
        <v>11885423</v>
      </c>
      <c r="C428" s="2" t="s">
        <v>38</v>
      </c>
      <c r="D428" s="2" t="s">
        <v>39</v>
      </c>
      <c r="E428" s="4">
        <v>45258</v>
      </c>
    </row>
    <row r="429" spans="1:5" x14ac:dyDescent="0.25">
      <c r="A429" s="1" t="s">
        <v>372</v>
      </c>
      <c r="B429">
        <v>13624878</v>
      </c>
      <c r="C429" s="2" t="s">
        <v>344</v>
      </c>
      <c r="D429" s="2" t="s">
        <v>354</v>
      </c>
      <c r="E429" s="4">
        <v>45225</v>
      </c>
    </row>
    <row r="430" spans="1:5" x14ac:dyDescent="0.25">
      <c r="A430" s="1" t="s">
        <v>374</v>
      </c>
      <c r="B430">
        <v>3092546</v>
      </c>
      <c r="C430" s="2" t="s">
        <v>344</v>
      </c>
      <c r="D430" s="2" t="s">
        <v>354</v>
      </c>
      <c r="E430" s="4">
        <v>45226</v>
      </c>
    </row>
    <row r="431" spans="1:5" x14ac:dyDescent="0.25">
      <c r="A431" s="1" t="str">
        <f>"BEECHES MANAGEMENT CONSULTANTS LIMITED"</f>
        <v>BEECHES MANAGEMENT CONSULTANTS LIMITED</v>
      </c>
      <c r="B431" t="str">
        <f>"07826746"</f>
        <v>07826746</v>
      </c>
      <c r="C431" s="2" t="s">
        <v>344</v>
      </c>
      <c r="D431" s="2" t="s">
        <v>345</v>
      </c>
      <c r="E431" s="4">
        <v>45232</v>
      </c>
    </row>
    <row r="432" spans="1:5" x14ac:dyDescent="0.25">
      <c r="A432" s="1" t="s">
        <v>425</v>
      </c>
      <c r="B432">
        <v>11599562</v>
      </c>
      <c r="C432" s="2" t="s">
        <v>155</v>
      </c>
      <c r="D432" s="2" t="s">
        <v>11</v>
      </c>
      <c r="E432" s="4">
        <v>45226</v>
      </c>
    </row>
    <row r="433" spans="1:5" x14ac:dyDescent="0.25">
      <c r="A433" s="1" t="s">
        <v>477</v>
      </c>
      <c r="B433">
        <v>9013243</v>
      </c>
      <c r="C433" s="2" t="s">
        <v>155</v>
      </c>
      <c r="D433" s="2" t="s">
        <v>11</v>
      </c>
      <c r="E433" s="4">
        <v>45229</v>
      </c>
    </row>
    <row r="434" spans="1:5" x14ac:dyDescent="0.25">
      <c r="A434" s="1" t="str">
        <f>"SG HLX LIMITED"</f>
        <v>SG HLX LIMITED</v>
      </c>
      <c r="B434" t="str">
        <f>"08722666"</f>
        <v>08722666</v>
      </c>
      <c r="C434" s="2" t="s">
        <v>155</v>
      </c>
      <c r="D434" s="2" t="s">
        <v>11</v>
      </c>
      <c r="E434" s="4">
        <v>45238</v>
      </c>
    </row>
    <row r="435" spans="1:5" x14ac:dyDescent="0.25">
      <c r="A435" s="1" t="str">
        <f>"MOBILE WELDING SERVICES ENGLAND LIMITED"</f>
        <v>MOBILE WELDING SERVICES ENGLAND LIMITED</v>
      </c>
      <c r="B435" t="str">
        <f>"11701039"</f>
        <v>11701039</v>
      </c>
      <c r="C435" s="2" t="s">
        <v>155</v>
      </c>
      <c r="D435" s="2" t="s">
        <v>11</v>
      </c>
      <c r="E435" s="4">
        <v>45238</v>
      </c>
    </row>
    <row r="436" spans="1:5" x14ac:dyDescent="0.25">
      <c r="A436" s="1" t="str">
        <f>"THE PET VAULT LTD"</f>
        <v>THE PET VAULT LTD</v>
      </c>
      <c r="B436" t="str">
        <f>"09809572"</f>
        <v>09809572</v>
      </c>
      <c r="C436" s="2" t="s">
        <v>155</v>
      </c>
      <c r="D436" s="2" t="s">
        <v>11</v>
      </c>
      <c r="E436" s="4">
        <v>45240</v>
      </c>
    </row>
    <row r="437" spans="1:5" x14ac:dyDescent="0.25">
      <c r="A437" s="1" t="str">
        <f>"FOWNES' TAVERNS LTD"</f>
        <v>FOWNES' TAVERNS LTD</v>
      </c>
      <c r="B437" t="str">
        <f>"12466137"</f>
        <v>12466137</v>
      </c>
      <c r="C437" s="2" t="s">
        <v>155</v>
      </c>
      <c r="D437" s="2" t="s">
        <v>11</v>
      </c>
      <c r="E437" s="4">
        <v>45244</v>
      </c>
    </row>
    <row r="438" spans="1:5" x14ac:dyDescent="0.25">
      <c r="A438" s="1" t="str">
        <f>"FOWNES BREWING COMPANY LTD."</f>
        <v>FOWNES BREWING COMPANY LTD.</v>
      </c>
      <c r="B438" t="str">
        <f>"08942006"</f>
        <v>08942006</v>
      </c>
      <c r="C438" s="2" t="s">
        <v>155</v>
      </c>
      <c r="D438" s="2" t="s">
        <v>11</v>
      </c>
      <c r="E438" s="4">
        <v>45244</v>
      </c>
    </row>
    <row r="439" spans="1:5" x14ac:dyDescent="0.25">
      <c r="A439" s="1" t="str">
        <f>"VENTURE HOMES (WORCESTER) LIMITED"</f>
        <v>VENTURE HOMES (WORCESTER) LIMITED</v>
      </c>
      <c r="B439" t="str">
        <f>"10555553"</f>
        <v>10555553</v>
      </c>
      <c r="C439" s="2" t="s">
        <v>155</v>
      </c>
      <c r="D439" s="2" t="s">
        <v>11</v>
      </c>
      <c r="E439" s="4">
        <v>45244</v>
      </c>
    </row>
    <row r="440" spans="1:5" x14ac:dyDescent="0.25">
      <c r="A440" s="1" t="s">
        <v>662</v>
      </c>
      <c r="B440">
        <v>12592794</v>
      </c>
      <c r="C440" s="2" t="s">
        <v>155</v>
      </c>
      <c r="D440" s="2" t="s">
        <v>11</v>
      </c>
      <c r="E440" s="4">
        <v>45247</v>
      </c>
    </row>
    <row r="441" spans="1:5" x14ac:dyDescent="0.25">
      <c r="A441" s="1" t="s">
        <v>667</v>
      </c>
      <c r="B441">
        <v>7382643</v>
      </c>
      <c r="C441" s="2" t="s">
        <v>155</v>
      </c>
      <c r="D441" s="2" t="s">
        <v>11</v>
      </c>
      <c r="E441" s="4">
        <v>45247</v>
      </c>
    </row>
    <row r="442" spans="1:5" x14ac:dyDescent="0.25">
      <c r="A442" s="1" t="str">
        <f>"WACKY FESTIVALS LTD"</f>
        <v>WACKY FESTIVALS LTD</v>
      </c>
      <c r="B442" t="str">
        <f>"14615259"</f>
        <v>14615259</v>
      </c>
      <c r="C442" s="2" t="s">
        <v>155</v>
      </c>
      <c r="D442" s="2" t="s">
        <v>11</v>
      </c>
      <c r="E442" s="4">
        <v>45254</v>
      </c>
    </row>
    <row r="443" spans="1:5" x14ac:dyDescent="0.25">
      <c r="A443" s="1" t="str">
        <f>"NEW PLATT MOTORS LIMITED"</f>
        <v>NEW PLATT MOTORS LIMITED</v>
      </c>
      <c r="B443" t="str">
        <f>"05412196"</f>
        <v>05412196</v>
      </c>
      <c r="C443" s="2" t="s">
        <v>316</v>
      </c>
      <c r="D443" s="2" t="s">
        <v>193</v>
      </c>
      <c r="E443" s="4">
        <v>45238</v>
      </c>
    </row>
    <row r="444" spans="1:5" x14ac:dyDescent="0.25">
      <c r="A444" s="1" t="str">
        <f>"T C CAR DRIVERS ASSOCIATION LIMITED"</f>
        <v>T C CAR DRIVERS ASSOCIATION LIMITED</v>
      </c>
      <c r="B444" t="str">
        <f>"11270040"</f>
        <v>11270040</v>
      </c>
      <c r="C444" s="2" t="s">
        <v>316</v>
      </c>
      <c r="D444" s="2" t="s">
        <v>193</v>
      </c>
      <c r="E444" s="4">
        <v>45245</v>
      </c>
    </row>
    <row r="445" spans="1:5" x14ac:dyDescent="0.25">
      <c r="A445" s="1" t="str">
        <f>"MONSTER PET SUPPLIES (UK) LTD"</f>
        <v>MONSTER PET SUPPLIES (UK) LTD</v>
      </c>
      <c r="B445" t="str">
        <f>"07590120"</f>
        <v>07590120</v>
      </c>
      <c r="C445" s="2" t="s">
        <v>139</v>
      </c>
      <c r="D445" s="2" t="s">
        <v>140</v>
      </c>
      <c r="E445" s="4">
        <v>45232</v>
      </c>
    </row>
    <row r="446" spans="1:5" x14ac:dyDescent="0.25">
      <c r="A446" s="1" t="str">
        <f>"WILLOW BRIDAL BOUTIQUE LTD"</f>
        <v>WILLOW BRIDAL BOUTIQUE LTD</v>
      </c>
      <c r="B446" t="str">
        <f>"10345932"</f>
        <v>10345932</v>
      </c>
      <c r="C446" s="2" t="s">
        <v>139</v>
      </c>
      <c r="D446" s="2" t="s">
        <v>140</v>
      </c>
      <c r="E446" s="4">
        <v>45243</v>
      </c>
    </row>
    <row r="447" spans="1:5" x14ac:dyDescent="0.25">
      <c r="A447" s="1" t="str">
        <f>"NORTH WEST PAINT WORKS LTD"</f>
        <v>NORTH WEST PAINT WORKS LTD</v>
      </c>
      <c r="B447" t="str">
        <f>"09491159"</f>
        <v>09491159</v>
      </c>
      <c r="C447" s="2" t="s">
        <v>139</v>
      </c>
      <c r="D447" s="2" t="s">
        <v>140</v>
      </c>
      <c r="E447" s="4">
        <v>45245</v>
      </c>
    </row>
    <row r="448" spans="1:5" x14ac:dyDescent="0.25">
      <c r="A448" s="1" t="s">
        <v>750</v>
      </c>
      <c r="B448">
        <v>10135429</v>
      </c>
      <c r="C448" s="2" t="s">
        <v>139</v>
      </c>
      <c r="D448" s="2" t="s">
        <v>140</v>
      </c>
      <c r="E448" s="4">
        <v>45246</v>
      </c>
    </row>
    <row r="449" spans="1:5" x14ac:dyDescent="0.25">
      <c r="A449" s="1" t="s">
        <v>841</v>
      </c>
      <c r="B449">
        <v>9619361</v>
      </c>
      <c r="C449" s="2" t="s">
        <v>139</v>
      </c>
      <c r="D449" s="2" t="s">
        <v>140</v>
      </c>
      <c r="E449" s="4">
        <v>45252</v>
      </c>
    </row>
    <row r="450" spans="1:5" x14ac:dyDescent="0.25">
      <c r="A450" s="1" t="str">
        <f>"ZATAR LTD"</f>
        <v>ZATAR LTD</v>
      </c>
      <c r="B450" t="str">
        <f>"10996241"</f>
        <v>10996241</v>
      </c>
      <c r="C450" s="2" t="s">
        <v>139</v>
      </c>
      <c r="D450" s="2" t="s">
        <v>140</v>
      </c>
      <c r="E450" s="4">
        <v>45253</v>
      </c>
    </row>
    <row r="451" spans="1:5" x14ac:dyDescent="0.25">
      <c r="A451" s="1" t="s">
        <v>496</v>
      </c>
      <c r="B451">
        <v>11389437</v>
      </c>
      <c r="C451" s="2" t="s">
        <v>51</v>
      </c>
      <c r="D451" s="2" t="s">
        <v>52</v>
      </c>
      <c r="E451" s="4">
        <v>45226</v>
      </c>
    </row>
    <row r="452" spans="1:5" x14ac:dyDescent="0.25">
      <c r="A452" s="1" t="str">
        <f>"RANA EVIL CORP LTD"</f>
        <v>RANA EVIL CORP LTD</v>
      </c>
      <c r="B452" t="str">
        <f>"13653345"</f>
        <v>13653345</v>
      </c>
      <c r="C452" s="2" t="s">
        <v>51</v>
      </c>
      <c r="D452" s="2" t="s">
        <v>52</v>
      </c>
      <c r="E452" s="4">
        <v>45230</v>
      </c>
    </row>
    <row r="453" spans="1:5" x14ac:dyDescent="0.25">
      <c r="A453" s="1" t="str">
        <f>"RF STOURBRIDGE LTD"</f>
        <v>RF STOURBRIDGE LTD</v>
      </c>
      <c r="B453" t="str">
        <f>"10556448"</f>
        <v>10556448</v>
      </c>
      <c r="C453" s="2" t="s">
        <v>51</v>
      </c>
      <c r="D453" s="2" t="s">
        <v>52</v>
      </c>
      <c r="E453" s="4">
        <v>45231</v>
      </c>
    </row>
    <row r="454" spans="1:5" x14ac:dyDescent="0.25">
      <c r="A454" s="1" t="str">
        <f>"EURO CAR TYRES LTD"</f>
        <v>EURO CAR TYRES LTD</v>
      </c>
      <c r="B454" t="str">
        <f>"10198873"</f>
        <v>10198873</v>
      </c>
      <c r="C454" s="2" t="s">
        <v>51</v>
      </c>
      <c r="D454" s="2" t="s">
        <v>52</v>
      </c>
      <c r="E454" s="4">
        <v>45233</v>
      </c>
    </row>
    <row r="455" spans="1:5" x14ac:dyDescent="0.25">
      <c r="A455" s="1" t="str">
        <f>"GROVE ROAD CONVENIENCE STORES LIMITED"</f>
        <v>GROVE ROAD CONVENIENCE STORES LIMITED</v>
      </c>
      <c r="B455" t="str">
        <f>"08008699"</f>
        <v>08008699</v>
      </c>
      <c r="C455" s="2" t="s">
        <v>51</v>
      </c>
      <c r="D455" s="2" t="s">
        <v>52</v>
      </c>
      <c r="E455" s="4">
        <v>45236</v>
      </c>
    </row>
    <row r="456" spans="1:5" x14ac:dyDescent="0.25">
      <c r="A456" s="1" t="str">
        <f>"MEGA POUND (HEYWOOD) LTD"</f>
        <v>MEGA POUND (HEYWOOD) LTD</v>
      </c>
      <c r="B456" t="str">
        <f>"09256068"</f>
        <v>09256068</v>
      </c>
      <c r="C456" s="2" t="s">
        <v>51</v>
      </c>
      <c r="D456" s="2" t="s">
        <v>52</v>
      </c>
      <c r="E456" s="4">
        <v>45237</v>
      </c>
    </row>
    <row r="457" spans="1:5" x14ac:dyDescent="0.25">
      <c r="A457" s="1" t="str">
        <f>"MULE COFFEE LIMITED"</f>
        <v>MULE COFFEE LIMITED</v>
      </c>
      <c r="B457" t="str">
        <f>"12148845"</f>
        <v>12148845</v>
      </c>
      <c r="C457" s="2" t="s">
        <v>51</v>
      </c>
      <c r="D457" s="2" t="s">
        <v>52</v>
      </c>
      <c r="E457" s="4">
        <v>45237</v>
      </c>
    </row>
    <row r="458" spans="1:5" x14ac:dyDescent="0.25">
      <c r="A458" s="1" t="str">
        <f>"BENGAL PALACE RESTAURANT LTD"</f>
        <v>BENGAL PALACE RESTAURANT LTD</v>
      </c>
      <c r="B458" t="str">
        <f>"08429425"</f>
        <v>08429425</v>
      </c>
      <c r="C458" s="2" t="s">
        <v>51</v>
      </c>
      <c r="D458" s="2" t="s">
        <v>52</v>
      </c>
      <c r="E458" s="4">
        <v>45238</v>
      </c>
    </row>
    <row r="459" spans="1:5" x14ac:dyDescent="0.25">
      <c r="A459" s="1" t="str">
        <f>"FOLKESTONE CATERING LTD"</f>
        <v>FOLKESTONE CATERING LTD</v>
      </c>
      <c r="B459" t="str">
        <f>"11567095"</f>
        <v>11567095</v>
      </c>
      <c r="C459" s="2" t="s">
        <v>51</v>
      </c>
      <c r="D459" s="2" t="s">
        <v>52</v>
      </c>
      <c r="E459" s="4">
        <v>45240</v>
      </c>
    </row>
    <row r="460" spans="1:5" x14ac:dyDescent="0.25">
      <c r="A460" s="1" t="s">
        <v>684</v>
      </c>
      <c r="B460">
        <v>11697599</v>
      </c>
      <c r="C460" s="2" t="s">
        <v>51</v>
      </c>
      <c r="D460" s="2" t="s">
        <v>52</v>
      </c>
      <c r="E460" s="4">
        <v>45247</v>
      </c>
    </row>
    <row r="461" spans="1:5" x14ac:dyDescent="0.25">
      <c r="A461" s="1" t="str">
        <f>"ROWENA HOUSE LIMITED"</f>
        <v>ROWENA HOUSE LIMITED</v>
      </c>
      <c r="B461" t="str">
        <f>"04395364"</f>
        <v>04395364</v>
      </c>
      <c r="C461" s="2" t="s">
        <v>51</v>
      </c>
      <c r="D461" s="2" t="s">
        <v>52</v>
      </c>
      <c r="E461" s="4">
        <v>45254</v>
      </c>
    </row>
    <row r="462" spans="1:5" x14ac:dyDescent="0.25">
      <c r="A462" s="1" t="str">
        <f>"DRAWING AND PLANNING LIMITED"</f>
        <v>DRAWING AND PLANNING LIMITED</v>
      </c>
      <c r="B462" t="str">
        <f>"07073798"</f>
        <v>07073798</v>
      </c>
      <c r="C462" s="2" t="s">
        <v>51</v>
      </c>
      <c r="D462" s="2" t="s">
        <v>52</v>
      </c>
      <c r="E462" s="4">
        <v>45257</v>
      </c>
    </row>
    <row r="463" spans="1:5" x14ac:dyDescent="0.25">
      <c r="A463" s="1" t="str">
        <f>"LILYMOO LIMITED"</f>
        <v>LILYMOO LIMITED</v>
      </c>
      <c r="B463" t="str">
        <f>"10834206"</f>
        <v>10834206</v>
      </c>
      <c r="C463" s="2" t="s">
        <v>51</v>
      </c>
      <c r="D463" s="2" t="s">
        <v>52</v>
      </c>
      <c r="E463" s="4">
        <v>45257</v>
      </c>
    </row>
    <row r="464" spans="1:5" x14ac:dyDescent="0.25">
      <c r="A464" s="1" t="s">
        <v>523</v>
      </c>
      <c r="B464">
        <v>6473409</v>
      </c>
      <c r="C464" s="2" t="s">
        <v>256</v>
      </c>
      <c r="D464" s="2" t="s">
        <v>257</v>
      </c>
      <c r="E464" s="4">
        <v>45231</v>
      </c>
    </row>
    <row r="465" spans="1:5" x14ac:dyDescent="0.25">
      <c r="A465" s="1" t="str">
        <f>"HITCHAM TRADING LIMITED"</f>
        <v>HITCHAM TRADING LIMITED</v>
      </c>
      <c r="B465" t="str">
        <f>"11023609"</f>
        <v>11023609</v>
      </c>
      <c r="C465" s="2" t="s">
        <v>256</v>
      </c>
      <c r="D465" s="2" t="s">
        <v>257</v>
      </c>
      <c r="E465" s="4">
        <v>45232</v>
      </c>
    </row>
    <row r="466" spans="1:5" x14ac:dyDescent="0.25">
      <c r="A466" s="1" t="str">
        <f>"KANDIDATE LTD"</f>
        <v>KANDIDATE LTD</v>
      </c>
      <c r="B466" t="str">
        <f>"10674393"</f>
        <v>10674393</v>
      </c>
      <c r="C466" s="2" t="s">
        <v>256</v>
      </c>
      <c r="D466" s="2" t="s">
        <v>257</v>
      </c>
      <c r="E466" s="4">
        <v>45236</v>
      </c>
    </row>
    <row r="467" spans="1:5" x14ac:dyDescent="0.25">
      <c r="A467" s="1" t="str">
        <f>"SGC ELECTRICAL LTD"</f>
        <v>SGC ELECTRICAL LTD</v>
      </c>
      <c r="B467" t="str">
        <f>"09755641"</f>
        <v>09755641</v>
      </c>
      <c r="C467" s="2" t="s">
        <v>256</v>
      </c>
      <c r="D467" s="2" t="s">
        <v>257</v>
      </c>
      <c r="E467" s="4">
        <v>45238</v>
      </c>
    </row>
    <row r="468" spans="1:5" x14ac:dyDescent="0.25">
      <c r="A468" s="1" t="str">
        <f>"ATTICA LONDON LTD"</f>
        <v>ATTICA LONDON LTD</v>
      </c>
      <c r="B468" t="str">
        <f>"11126064"</f>
        <v>11126064</v>
      </c>
      <c r="C468" s="2" t="s">
        <v>256</v>
      </c>
      <c r="D468" s="2" t="s">
        <v>257</v>
      </c>
      <c r="E468" s="4">
        <v>45239</v>
      </c>
    </row>
    <row r="469" spans="1:5" x14ac:dyDescent="0.25">
      <c r="A469" s="1" t="str">
        <f>"RISE GYMNASIUM LIMITED"</f>
        <v>RISE GYMNASIUM LIMITED</v>
      </c>
      <c r="B469" t="str">
        <f>"11837713"</f>
        <v>11837713</v>
      </c>
      <c r="C469" s="2" t="s">
        <v>256</v>
      </c>
      <c r="D469" s="2" t="s">
        <v>257</v>
      </c>
      <c r="E469" s="4">
        <v>45243</v>
      </c>
    </row>
    <row r="470" spans="1:5" x14ac:dyDescent="0.25">
      <c r="A470" s="1" t="str">
        <f>"N &amp; T RENEWABLES LIMITED"</f>
        <v>N &amp; T RENEWABLES LIMITED</v>
      </c>
      <c r="B470" t="str">
        <f>"09488823"</f>
        <v>09488823</v>
      </c>
      <c r="C470" s="2" t="s">
        <v>256</v>
      </c>
      <c r="D470" s="2" t="s">
        <v>257</v>
      </c>
      <c r="E470" s="4">
        <v>45243</v>
      </c>
    </row>
    <row r="471" spans="1:5" x14ac:dyDescent="0.25">
      <c r="A471" s="1" t="str">
        <f>"RISE GYM LTD"</f>
        <v>RISE GYM LTD</v>
      </c>
      <c r="B471" t="str">
        <f>"07959084"</f>
        <v>07959084</v>
      </c>
      <c r="C471" s="2" t="s">
        <v>256</v>
      </c>
      <c r="D471" s="2" t="s">
        <v>257</v>
      </c>
      <c r="E471" s="4">
        <v>45243</v>
      </c>
    </row>
    <row r="472" spans="1:5" x14ac:dyDescent="0.25">
      <c r="A472" s="1" t="str">
        <f>"STUFF OVER FRAMES LIMITED"</f>
        <v>STUFF OVER FRAMES LIMITED</v>
      </c>
      <c r="B472" t="str">
        <f>"11674095"</f>
        <v>11674095</v>
      </c>
      <c r="C472" s="2" t="s">
        <v>256</v>
      </c>
      <c r="D472" s="2" t="s">
        <v>257</v>
      </c>
      <c r="E472" s="4">
        <v>45253</v>
      </c>
    </row>
    <row r="473" spans="1:5" x14ac:dyDescent="0.25">
      <c r="A473" s="1" t="str">
        <f>"BGS LANDSCAPES &amp; FENCING LIMITED"</f>
        <v>BGS LANDSCAPES &amp; FENCING LIMITED</v>
      </c>
      <c r="B473" t="str">
        <f>"10176736"</f>
        <v>10176736</v>
      </c>
      <c r="C473" s="2" t="s">
        <v>264</v>
      </c>
      <c r="D473" s="2" t="s">
        <v>131</v>
      </c>
      <c r="E473" s="4">
        <v>45230</v>
      </c>
    </row>
    <row r="474" spans="1:5" x14ac:dyDescent="0.25">
      <c r="A474" s="1" t="str">
        <f>"COASTAL LIVING PROPERTY MANAGEMENT LIMITED"</f>
        <v>COASTAL LIVING PROPERTY MANAGEMENT LIMITED</v>
      </c>
      <c r="B474" t="str">
        <f>"09351869"</f>
        <v>09351869</v>
      </c>
      <c r="C474" s="2" t="s">
        <v>264</v>
      </c>
      <c r="D474" s="2" t="s">
        <v>131</v>
      </c>
      <c r="E474" s="4">
        <v>45251</v>
      </c>
    </row>
    <row r="475" spans="1:5" x14ac:dyDescent="0.25">
      <c r="A475" s="1" t="s">
        <v>387</v>
      </c>
      <c r="B475">
        <v>12017607</v>
      </c>
      <c r="C475" s="2" t="s">
        <v>70</v>
      </c>
      <c r="D475" s="2" t="s">
        <v>71</v>
      </c>
      <c r="E475" s="4">
        <v>45225</v>
      </c>
    </row>
    <row r="476" spans="1:5" x14ac:dyDescent="0.25">
      <c r="A476" s="1" t="s">
        <v>388</v>
      </c>
      <c r="B476">
        <v>9084379</v>
      </c>
      <c r="C476" s="2" t="s">
        <v>70</v>
      </c>
      <c r="D476" s="2" t="s">
        <v>71</v>
      </c>
      <c r="E476" s="4">
        <v>45229</v>
      </c>
    </row>
    <row r="477" spans="1:5" x14ac:dyDescent="0.25">
      <c r="A477" s="1" t="s">
        <v>517</v>
      </c>
      <c r="B477">
        <v>9189407</v>
      </c>
      <c r="C477" s="2" t="s">
        <v>70</v>
      </c>
      <c r="D477" s="2" t="s">
        <v>71</v>
      </c>
      <c r="E477" s="4">
        <v>45229</v>
      </c>
    </row>
    <row r="478" spans="1:5" x14ac:dyDescent="0.25">
      <c r="A478" s="1" t="str">
        <f>"G.B SERVICES (SOLIHULL) LIMITED"</f>
        <v>G.B SERVICES (SOLIHULL) LIMITED</v>
      </c>
      <c r="B478" t="str">
        <f>"07167299"</f>
        <v>07167299</v>
      </c>
      <c r="C478" s="2" t="s">
        <v>70</v>
      </c>
      <c r="D478" s="2" t="s">
        <v>71</v>
      </c>
      <c r="E478" s="4">
        <v>45230</v>
      </c>
    </row>
    <row r="479" spans="1:5" x14ac:dyDescent="0.25">
      <c r="A479" s="1" t="s">
        <v>527</v>
      </c>
      <c r="B479">
        <v>8512545</v>
      </c>
      <c r="C479" s="2" t="s">
        <v>70</v>
      </c>
      <c r="D479" s="2" t="s">
        <v>71</v>
      </c>
      <c r="E479" s="4">
        <v>45231</v>
      </c>
    </row>
    <row r="480" spans="1:5" x14ac:dyDescent="0.25">
      <c r="A480" s="1" t="str">
        <f>"ROOST THAMES CLUB LTD"</f>
        <v>ROOST THAMES CLUB LTD</v>
      </c>
      <c r="B480" t="str">
        <f>"12069854"</f>
        <v>12069854</v>
      </c>
      <c r="C480" s="2" t="s">
        <v>70</v>
      </c>
      <c r="D480" s="2" t="s">
        <v>71</v>
      </c>
      <c r="E480" s="4">
        <v>45232</v>
      </c>
    </row>
    <row r="481" spans="1:5" x14ac:dyDescent="0.25">
      <c r="A481" s="1" t="str">
        <f>"BLUE CLARET LIMITED"</f>
        <v>BLUE CLARET LIMITED</v>
      </c>
      <c r="B481" t="str">
        <f>"08569267"</f>
        <v>08569267</v>
      </c>
      <c r="C481" s="2" t="s">
        <v>70</v>
      </c>
      <c r="D481" s="2" t="s">
        <v>71</v>
      </c>
      <c r="E481" s="4">
        <v>45236</v>
      </c>
    </row>
    <row r="482" spans="1:5" x14ac:dyDescent="0.25">
      <c r="A482" s="1" t="str">
        <f>"SIBLINGZ LIMITED"</f>
        <v>SIBLINGZ LIMITED</v>
      </c>
      <c r="B482" t="str">
        <f>"09941153"</f>
        <v>09941153</v>
      </c>
      <c r="C482" s="2" t="s">
        <v>70</v>
      </c>
      <c r="D482" s="2" t="s">
        <v>71</v>
      </c>
      <c r="E482" s="4">
        <v>45239</v>
      </c>
    </row>
    <row r="483" spans="1:5" x14ac:dyDescent="0.25">
      <c r="A483" s="1" t="str">
        <f>"GOLISHAL LTD"</f>
        <v>GOLISHAL LTD</v>
      </c>
      <c r="B483" t="str">
        <f>"11166850"</f>
        <v>11166850</v>
      </c>
      <c r="C483" s="2" t="s">
        <v>70</v>
      </c>
      <c r="D483" s="2" t="s">
        <v>71</v>
      </c>
      <c r="E483" s="4">
        <v>45245</v>
      </c>
    </row>
    <row r="484" spans="1:5" x14ac:dyDescent="0.25">
      <c r="A484" s="1" t="s">
        <v>544</v>
      </c>
      <c r="B484">
        <v>4242376</v>
      </c>
      <c r="C484" s="2" t="s">
        <v>181</v>
      </c>
      <c r="D484" s="2" t="s">
        <v>349</v>
      </c>
      <c r="E484" s="4">
        <v>45191</v>
      </c>
    </row>
    <row r="485" spans="1:5" x14ac:dyDescent="0.25">
      <c r="A485" s="1" t="s">
        <v>573</v>
      </c>
      <c r="B485">
        <v>3983805</v>
      </c>
      <c r="C485" s="2" t="s">
        <v>181</v>
      </c>
      <c r="D485" s="2" t="s">
        <v>349</v>
      </c>
      <c r="E485" s="4">
        <v>45226</v>
      </c>
    </row>
    <row r="486" spans="1:5" x14ac:dyDescent="0.25">
      <c r="A486" s="1" t="str">
        <f>"L4 AUTO LTD"</f>
        <v>L4 AUTO LTD</v>
      </c>
      <c r="B486" t="str">
        <f>"11793142"</f>
        <v>11793142</v>
      </c>
      <c r="C486" s="2" t="s">
        <v>181</v>
      </c>
      <c r="D486" s="2" t="s">
        <v>349</v>
      </c>
      <c r="E486" s="4">
        <v>45237</v>
      </c>
    </row>
    <row r="487" spans="1:5" x14ac:dyDescent="0.25">
      <c r="A487" s="1" t="str">
        <f>"GLOBAL STARZ LIMITED"</f>
        <v>GLOBAL STARZ LIMITED</v>
      </c>
      <c r="B487" t="str">
        <f>"09195990"</f>
        <v>09195990</v>
      </c>
      <c r="C487" s="2" t="s">
        <v>181</v>
      </c>
      <c r="D487" s="2" t="s">
        <v>349</v>
      </c>
      <c r="E487" s="4">
        <v>45237</v>
      </c>
    </row>
    <row r="488" spans="1:5" x14ac:dyDescent="0.25">
      <c r="A488" s="1" t="str">
        <f>"ON TREND GROUP LTD"</f>
        <v>ON TREND GROUP LTD</v>
      </c>
      <c r="B488" t="str">
        <f>"11831952"</f>
        <v>11831952</v>
      </c>
      <c r="C488" s="2" t="s">
        <v>181</v>
      </c>
      <c r="D488" s="2" t="s">
        <v>349</v>
      </c>
      <c r="E488" s="4">
        <v>45238</v>
      </c>
    </row>
    <row r="489" spans="1:5" x14ac:dyDescent="0.25">
      <c r="A489" s="1" t="str">
        <f>"GDL TOTAL CLEANING SOLUTION LIMITED"</f>
        <v>GDL TOTAL CLEANING SOLUTION LIMITED</v>
      </c>
      <c r="B489" t="str">
        <f>"11178963"</f>
        <v>11178963</v>
      </c>
      <c r="C489" s="2" t="s">
        <v>600</v>
      </c>
      <c r="D489" s="2" t="s">
        <v>349</v>
      </c>
      <c r="E489" s="4">
        <v>45240</v>
      </c>
    </row>
    <row r="490" spans="1:5" x14ac:dyDescent="0.25">
      <c r="A490" s="1" t="str">
        <f>"SIRAJ MCR LIMITED"</f>
        <v>SIRAJ MCR LIMITED</v>
      </c>
      <c r="B490" t="str">
        <f>"11986979"</f>
        <v>11986979</v>
      </c>
      <c r="C490" s="2" t="s">
        <v>181</v>
      </c>
      <c r="D490" s="2" t="s">
        <v>349</v>
      </c>
      <c r="E490" s="4">
        <v>45244</v>
      </c>
    </row>
    <row r="491" spans="1:5" x14ac:dyDescent="0.25">
      <c r="A491" s="1" t="str">
        <f>"PROCESSCO LTD"</f>
        <v>PROCESSCO LTD</v>
      </c>
      <c r="B491" t="str">
        <f>"09797907"</f>
        <v>09797907</v>
      </c>
      <c r="C491" s="2" t="s">
        <v>181</v>
      </c>
      <c r="D491" s="2" t="s">
        <v>349</v>
      </c>
      <c r="E491" s="4">
        <v>45244</v>
      </c>
    </row>
    <row r="492" spans="1:5" x14ac:dyDescent="0.25">
      <c r="A492" s="1" t="str">
        <f>"SSP DISTRIBUTION (UK) LTD"</f>
        <v>SSP DISTRIBUTION (UK) LTD</v>
      </c>
      <c r="B492" t="str">
        <f>"14593197"</f>
        <v>14593197</v>
      </c>
      <c r="C492" s="2" t="s">
        <v>181</v>
      </c>
      <c r="D492" s="2" t="s">
        <v>349</v>
      </c>
      <c r="E492" s="4">
        <v>45246</v>
      </c>
    </row>
    <row r="493" spans="1:5" x14ac:dyDescent="0.25">
      <c r="A493" s="1" t="s">
        <v>555</v>
      </c>
      <c r="B493">
        <v>9646376</v>
      </c>
      <c r="C493" s="2" t="s">
        <v>125</v>
      </c>
      <c r="D493" s="2" t="s">
        <v>39</v>
      </c>
      <c r="E493" s="4">
        <v>45226</v>
      </c>
    </row>
    <row r="494" spans="1:5" x14ac:dyDescent="0.25">
      <c r="A494" s="1" t="s">
        <v>494</v>
      </c>
      <c r="B494">
        <v>2608664</v>
      </c>
      <c r="C494" s="2" t="s">
        <v>125</v>
      </c>
      <c r="D494" s="2" t="s">
        <v>39</v>
      </c>
      <c r="E494" s="4">
        <v>45229</v>
      </c>
    </row>
    <row r="495" spans="1:5" x14ac:dyDescent="0.25">
      <c r="A495" s="1" t="str">
        <f>"LUMOO LIMITED"</f>
        <v>LUMOO LIMITED</v>
      </c>
      <c r="B495" t="str">
        <f>"07850547"</f>
        <v>07850547</v>
      </c>
      <c r="C495" s="2" t="s">
        <v>125</v>
      </c>
      <c r="D495" s="2" t="s">
        <v>39</v>
      </c>
      <c r="E495" s="4">
        <v>45233</v>
      </c>
    </row>
    <row r="496" spans="1:5" x14ac:dyDescent="0.25">
      <c r="A496" s="1" t="str">
        <f>"BROADWAY RESTAURANT LTD"</f>
        <v>BROADWAY RESTAURANT LTD</v>
      </c>
      <c r="B496" t="str">
        <f>"08189761"</f>
        <v>08189761</v>
      </c>
      <c r="C496" s="2" t="s">
        <v>125</v>
      </c>
      <c r="D496" s="2" t="s">
        <v>39</v>
      </c>
      <c r="E496" s="4">
        <v>45243</v>
      </c>
    </row>
    <row r="497" spans="1:5" x14ac:dyDescent="0.25">
      <c r="A497" s="1" t="s">
        <v>734</v>
      </c>
      <c r="B497">
        <v>10619566</v>
      </c>
      <c r="C497" s="2" t="s">
        <v>125</v>
      </c>
      <c r="D497" s="2" t="s">
        <v>39</v>
      </c>
      <c r="E497" s="4">
        <v>45243</v>
      </c>
    </row>
    <row r="498" spans="1:5" x14ac:dyDescent="0.25">
      <c r="A498" s="1" t="str">
        <f>"TSR MANCHESTER LTD"</f>
        <v>TSR MANCHESTER LTD</v>
      </c>
      <c r="B498" t="str">
        <f>"11476640"</f>
        <v>11476640</v>
      </c>
      <c r="C498" s="2" t="s">
        <v>125</v>
      </c>
      <c r="D498" s="2" t="s">
        <v>39</v>
      </c>
      <c r="E498" s="4">
        <v>45254</v>
      </c>
    </row>
    <row r="499" spans="1:5" x14ac:dyDescent="0.25">
      <c r="A499" s="1" t="str">
        <f>"RIVERSIDE BLINDS LTD"</f>
        <v>RIVERSIDE BLINDS LTD</v>
      </c>
      <c r="B499" t="str">
        <f>"10791627"</f>
        <v>10791627</v>
      </c>
      <c r="C499" s="2" t="s">
        <v>99</v>
      </c>
      <c r="D499" s="2" t="s">
        <v>26</v>
      </c>
      <c r="E499" s="4">
        <v>45230</v>
      </c>
    </row>
    <row r="500" spans="1:5" x14ac:dyDescent="0.25">
      <c r="A500" s="1" t="str">
        <f>"MIDO CATERING LTD."</f>
        <v>MIDO CATERING LTD.</v>
      </c>
      <c r="B500" t="str">
        <f>"12345163"</f>
        <v>12345163</v>
      </c>
      <c r="C500" s="2" t="s">
        <v>99</v>
      </c>
      <c r="D500" s="2" t="s">
        <v>26</v>
      </c>
      <c r="E500" s="4">
        <v>45230</v>
      </c>
    </row>
    <row r="501" spans="1:5" x14ac:dyDescent="0.25">
      <c r="A501" s="1" t="str">
        <f>"ALCEDOSOFT LIMITED"</f>
        <v>ALCEDOSOFT LIMITED</v>
      </c>
      <c r="B501" t="str">
        <f>"04340709"</f>
        <v>04340709</v>
      </c>
      <c r="C501" s="2" t="s">
        <v>99</v>
      </c>
      <c r="D501" s="2" t="s">
        <v>26</v>
      </c>
      <c r="E501" s="4">
        <v>45236</v>
      </c>
    </row>
    <row r="502" spans="1:5" x14ac:dyDescent="0.25">
      <c r="A502" s="1" t="str">
        <f>"BEE CLEAN 2 LTD"</f>
        <v>BEE CLEAN 2 LTD</v>
      </c>
      <c r="B502" t="str">
        <f>"07403731"</f>
        <v>07403731</v>
      </c>
      <c r="C502" s="2" t="s">
        <v>99</v>
      </c>
      <c r="D502" s="2" t="s">
        <v>26</v>
      </c>
      <c r="E502" s="4">
        <v>45237</v>
      </c>
    </row>
    <row r="503" spans="1:5" x14ac:dyDescent="0.25">
      <c r="A503" s="1" t="str">
        <f>"WHITE FISH NW LTD"</f>
        <v>WHITE FISH NW LTD</v>
      </c>
      <c r="B503" t="str">
        <f>"13903049"</f>
        <v>13903049</v>
      </c>
      <c r="C503" s="2" t="s">
        <v>99</v>
      </c>
      <c r="D503" s="2" t="s">
        <v>26</v>
      </c>
      <c r="E503" s="4">
        <v>45237</v>
      </c>
    </row>
    <row r="504" spans="1:5" x14ac:dyDescent="0.25">
      <c r="A504" s="1" t="str">
        <f>"UK HGV DRIVERS LTD"</f>
        <v>UK HGV DRIVERS LTD</v>
      </c>
      <c r="B504" t="str">
        <f>"13014049"</f>
        <v>13014049</v>
      </c>
      <c r="C504" s="2" t="s">
        <v>99</v>
      </c>
      <c r="D504" s="2" t="s">
        <v>26</v>
      </c>
      <c r="E504" s="4">
        <v>45238</v>
      </c>
    </row>
    <row r="505" spans="1:5" x14ac:dyDescent="0.25">
      <c r="A505" s="1" t="str">
        <f>"PAUL LATHAM LIMITED"</f>
        <v>PAUL LATHAM LIMITED</v>
      </c>
      <c r="B505" t="str">
        <f>"06731321"</f>
        <v>06731321</v>
      </c>
      <c r="C505" s="2" t="s">
        <v>99</v>
      </c>
      <c r="D505" s="2" t="s">
        <v>26</v>
      </c>
      <c r="E505" s="4">
        <v>45239</v>
      </c>
    </row>
    <row r="506" spans="1:5" x14ac:dyDescent="0.25">
      <c r="A506" s="1" t="str">
        <f>"SCIENCE OF SKIN LTD"</f>
        <v>SCIENCE OF SKIN LTD</v>
      </c>
      <c r="B506" t="str">
        <f>"07075501"</f>
        <v>07075501</v>
      </c>
      <c r="C506" s="2" t="s">
        <v>99</v>
      </c>
      <c r="D506" s="2" t="s">
        <v>26</v>
      </c>
      <c r="E506" s="4">
        <v>45244</v>
      </c>
    </row>
    <row r="507" spans="1:5" x14ac:dyDescent="0.25">
      <c r="A507" s="1" t="str">
        <f>"ACACIA MANAGEMENT SERVICES LIMITED"</f>
        <v>ACACIA MANAGEMENT SERVICES LIMITED</v>
      </c>
      <c r="B507" t="str">
        <f>"14039224"</f>
        <v>14039224</v>
      </c>
      <c r="C507" s="2" t="s">
        <v>99</v>
      </c>
      <c r="D507" s="2" t="s">
        <v>26</v>
      </c>
      <c r="E507" s="4">
        <v>45247</v>
      </c>
    </row>
    <row r="508" spans="1:5" x14ac:dyDescent="0.25">
      <c r="A508" s="1" t="str">
        <f>"BESPOKE FURNITURE FRAMES LIMITED"</f>
        <v>BESPOKE FURNITURE FRAMES LIMITED</v>
      </c>
      <c r="B508" t="str">
        <f>"11666365"</f>
        <v>11666365</v>
      </c>
      <c r="C508" s="2" t="s">
        <v>99</v>
      </c>
      <c r="D508" s="2" t="s">
        <v>26</v>
      </c>
      <c r="E508" s="4">
        <v>45257</v>
      </c>
    </row>
    <row r="509" spans="1:5" x14ac:dyDescent="0.25">
      <c r="A509" s="1" t="str">
        <f>"DEPT MEAT LTD"</f>
        <v>DEPT MEAT LTD</v>
      </c>
      <c r="B509" t="str">
        <f>"11151644"</f>
        <v>11151644</v>
      </c>
      <c r="C509" s="2" t="s">
        <v>99</v>
      </c>
      <c r="D509" s="2" t="s">
        <v>26</v>
      </c>
      <c r="E509" s="4">
        <v>45257</v>
      </c>
    </row>
    <row r="510" spans="1:5" x14ac:dyDescent="0.25">
      <c r="A510" s="1" t="s">
        <v>514</v>
      </c>
      <c r="B510">
        <v>10464544</v>
      </c>
      <c r="C510" s="2" t="s">
        <v>74</v>
      </c>
      <c r="D510" s="2" t="s">
        <v>34</v>
      </c>
      <c r="E510" s="4">
        <v>45224</v>
      </c>
    </row>
    <row r="511" spans="1:5" x14ac:dyDescent="0.25">
      <c r="A511" s="1" t="s">
        <v>515</v>
      </c>
      <c r="B511">
        <v>10123489</v>
      </c>
      <c r="C511" s="2" t="s">
        <v>74</v>
      </c>
      <c r="D511" s="2" t="s">
        <v>34</v>
      </c>
      <c r="E511" s="4">
        <v>45224</v>
      </c>
    </row>
    <row r="512" spans="1:5" x14ac:dyDescent="0.25">
      <c r="A512" s="1" t="s">
        <v>389</v>
      </c>
      <c r="B512">
        <v>11348349</v>
      </c>
      <c r="C512" s="2" t="s">
        <v>74</v>
      </c>
      <c r="D512" s="2" t="s">
        <v>34</v>
      </c>
      <c r="E512" s="4">
        <v>45229</v>
      </c>
    </row>
    <row r="513" spans="1:5" x14ac:dyDescent="0.25">
      <c r="A513" s="1" t="str">
        <f>"SPECIALIST WELDING SERVICES (UK) LIMITED"</f>
        <v>SPECIALIST WELDING SERVICES (UK) LIMITED</v>
      </c>
      <c r="B513" t="str">
        <f>"05778825"</f>
        <v>05778825</v>
      </c>
      <c r="C513" s="2" t="s">
        <v>74</v>
      </c>
      <c r="D513" s="2" t="s">
        <v>34</v>
      </c>
      <c r="E513" s="4">
        <v>45237</v>
      </c>
    </row>
    <row r="514" spans="1:5" x14ac:dyDescent="0.25">
      <c r="A514" s="1" t="str">
        <f>"YORKSHIRE LAND DRAINAGE LIMITED"</f>
        <v>YORKSHIRE LAND DRAINAGE LIMITED</v>
      </c>
      <c r="B514" t="str">
        <f>"07444293"</f>
        <v>07444293</v>
      </c>
      <c r="C514" s="2" t="s">
        <v>74</v>
      </c>
      <c r="D514" s="2" t="s">
        <v>34</v>
      </c>
      <c r="E514" s="4">
        <v>45238</v>
      </c>
    </row>
    <row r="515" spans="1:5" x14ac:dyDescent="0.25">
      <c r="A515" s="1" t="str">
        <f>"BAR HIDDEN LIMITED"</f>
        <v>BAR HIDDEN LIMITED</v>
      </c>
      <c r="B515" t="str">
        <f>"12843299"</f>
        <v>12843299</v>
      </c>
      <c r="C515" s="2" t="s">
        <v>74</v>
      </c>
      <c r="D515" s="2" t="s">
        <v>34</v>
      </c>
      <c r="E515" s="4">
        <v>45238</v>
      </c>
    </row>
    <row r="516" spans="1:5" x14ac:dyDescent="0.25">
      <c r="A516" s="1" t="str">
        <f>"J. F. MONKS (DONCASTER) LIMITED"</f>
        <v>J. F. MONKS (DONCASTER) LIMITED</v>
      </c>
      <c r="B516" t="str">
        <f>"00283587"</f>
        <v>00283587</v>
      </c>
      <c r="C516" s="2" t="s">
        <v>74</v>
      </c>
      <c r="D516" s="2" t="s">
        <v>34</v>
      </c>
      <c r="E516" s="4">
        <v>45239</v>
      </c>
    </row>
    <row r="517" spans="1:5" x14ac:dyDescent="0.25">
      <c r="A517" s="1" t="str">
        <f>"CIRCLE 365 RECRUITMENT LIMITED"</f>
        <v>CIRCLE 365 RECRUITMENT LIMITED</v>
      </c>
      <c r="B517" t="str">
        <f>"09408197"</f>
        <v>09408197</v>
      </c>
      <c r="C517" s="2" t="s">
        <v>74</v>
      </c>
      <c r="D517" s="2" t="s">
        <v>34</v>
      </c>
      <c r="E517" s="4">
        <v>45243</v>
      </c>
    </row>
    <row r="518" spans="1:5" x14ac:dyDescent="0.25">
      <c r="A518" s="1" t="str">
        <f>"CUPARAH LTD"</f>
        <v>CUPARAH LTD</v>
      </c>
      <c r="B518" t="str">
        <f>"12654515"</f>
        <v>12654515</v>
      </c>
      <c r="C518" s="2" t="s">
        <v>74</v>
      </c>
      <c r="D518" s="2" t="s">
        <v>34</v>
      </c>
      <c r="E518" s="4">
        <v>45245</v>
      </c>
    </row>
    <row r="519" spans="1:5" x14ac:dyDescent="0.25">
      <c r="A519" s="1" t="s">
        <v>618</v>
      </c>
      <c r="B519">
        <v>5460752</v>
      </c>
      <c r="C519" s="2" t="s">
        <v>74</v>
      </c>
      <c r="D519" s="2" t="s">
        <v>34</v>
      </c>
      <c r="E519" s="4">
        <v>45246</v>
      </c>
    </row>
    <row r="520" spans="1:5" x14ac:dyDescent="0.25">
      <c r="A520" s="1" t="str">
        <f>"RED DOOR VR LIMITED"</f>
        <v>RED DOOR VR LIMITED</v>
      </c>
      <c r="B520" t="str">
        <f>"04042719"</f>
        <v>04042719</v>
      </c>
      <c r="C520" s="2" t="s">
        <v>74</v>
      </c>
      <c r="D520" s="2" t="s">
        <v>34</v>
      </c>
      <c r="E520" s="4">
        <v>45257</v>
      </c>
    </row>
    <row r="521" spans="1:5" x14ac:dyDescent="0.25">
      <c r="A521" s="1" t="str">
        <f>"M&amp;J BARS LIMITED"</f>
        <v>M&amp;J BARS LIMITED</v>
      </c>
      <c r="B521" t="str">
        <f>"08527643"</f>
        <v>08527643</v>
      </c>
      <c r="C521" s="2" t="s">
        <v>74</v>
      </c>
      <c r="D521" s="2" t="s">
        <v>34</v>
      </c>
      <c r="E521" s="4">
        <v>45258</v>
      </c>
    </row>
    <row r="522" spans="1:5" x14ac:dyDescent="0.25">
      <c r="A522" s="1" t="s">
        <v>480</v>
      </c>
      <c r="B522">
        <v>12295937</v>
      </c>
      <c r="C522" s="2" t="s">
        <v>27</v>
      </c>
      <c r="D522" s="2" t="s">
        <v>26</v>
      </c>
      <c r="E522" s="4">
        <v>45229</v>
      </c>
    </row>
    <row r="523" spans="1:5" x14ac:dyDescent="0.25">
      <c r="A523" s="1" t="s">
        <v>558</v>
      </c>
      <c r="B523">
        <v>10793144</v>
      </c>
      <c r="C523" s="2" t="s">
        <v>27</v>
      </c>
      <c r="D523" s="2" t="s">
        <v>26</v>
      </c>
      <c r="E523" s="4">
        <v>45229</v>
      </c>
    </row>
    <row r="524" spans="1:5" x14ac:dyDescent="0.25">
      <c r="A524" s="1" t="s">
        <v>545</v>
      </c>
      <c r="B524">
        <v>12501348</v>
      </c>
      <c r="C524" s="2" t="s">
        <v>27</v>
      </c>
      <c r="D524" s="2" t="s">
        <v>26</v>
      </c>
      <c r="E524" s="4">
        <v>45229</v>
      </c>
    </row>
    <row r="525" spans="1:5" x14ac:dyDescent="0.25">
      <c r="A525" s="1" t="str">
        <f>"ASTON HOSPITALITY EXPERTS LIMITED"</f>
        <v>ASTON HOSPITALITY EXPERTS LIMITED</v>
      </c>
      <c r="B525" t="str">
        <f>"10562043"</f>
        <v>10562043</v>
      </c>
      <c r="C525" s="2" t="s">
        <v>27</v>
      </c>
      <c r="D525" s="2" t="s">
        <v>26</v>
      </c>
      <c r="E525" s="4">
        <v>45230</v>
      </c>
    </row>
    <row r="526" spans="1:5" x14ac:dyDescent="0.25">
      <c r="A526" s="1" t="str">
        <f>"ONE STOP SPARES LIMITED"</f>
        <v>ONE STOP SPARES LIMITED</v>
      </c>
      <c r="B526" t="str">
        <f>"09437956"</f>
        <v>09437956</v>
      </c>
      <c r="C526" s="2" t="s">
        <v>27</v>
      </c>
      <c r="D526" s="2" t="s">
        <v>26</v>
      </c>
      <c r="E526" s="4">
        <v>45230</v>
      </c>
    </row>
    <row r="527" spans="1:5" x14ac:dyDescent="0.25">
      <c r="A527" s="1" t="str">
        <f>"KOSY SOFTWARE LTD"</f>
        <v>KOSY SOFTWARE LTD</v>
      </c>
      <c r="B527" t="str">
        <f>"12887873"</f>
        <v>12887873</v>
      </c>
      <c r="C527" s="2" t="s">
        <v>27</v>
      </c>
      <c r="D527" s="2" t="s">
        <v>26</v>
      </c>
      <c r="E527" s="4">
        <v>45230</v>
      </c>
    </row>
    <row r="528" spans="1:5" x14ac:dyDescent="0.25">
      <c r="A528" s="1" t="s">
        <v>634</v>
      </c>
      <c r="B528">
        <v>7878536</v>
      </c>
      <c r="C528" s="2" t="s">
        <v>27</v>
      </c>
      <c r="D528" s="2" t="s">
        <v>26</v>
      </c>
      <c r="E528" s="4">
        <v>45244</v>
      </c>
    </row>
    <row r="529" spans="1:23" x14ac:dyDescent="0.25">
      <c r="A529" s="1" t="str">
        <f>"JAMES SYSTEM SERVICES LTD"</f>
        <v>JAMES SYSTEM SERVICES LTD</v>
      </c>
      <c r="B529" t="str">
        <f>"09960978"</f>
        <v>09960978</v>
      </c>
      <c r="C529" s="2" t="s">
        <v>27</v>
      </c>
      <c r="D529" s="2" t="s">
        <v>26</v>
      </c>
      <c r="E529" s="4">
        <v>45251</v>
      </c>
    </row>
    <row r="530" spans="1:23" x14ac:dyDescent="0.25">
      <c r="A530" s="1" t="str">
        <f>"LOGAN HILL LTD"</f>
        <v>LOGAN HILL LTD</v>
      </c>
      <c r="B530" t="str">
        <f>"10209102"</f>
        <v>10209102</v>
      </c>
      <c r="C530" s="2" t="s">
        <v>371</v>
      </c>
      <c r="D530" s="2" t="s">
        <v>34</v>
      </c>
      <c r="E530" s="4">
        <v>45232</v>
      </c>
    </row>
    <row r="531" spans="1:23" x14ac:dyDescent="0.25">
      <c r="A531" s="1" t="str">
        <f>"INSTALL 24 LIMITED"</f>
        <v>INSTALL 24 LIMITED</v>
      </c>
      <c r="B531" t="str">
        <f>"10701037"</f>
        <v>10701037</v>
      </c>
      <c r="C531" s="2" t="s">
        <v>371</v>
      </c>
      <c r="D531" s="2" t="s">
        <v>34</v>
      </c>
      <c r="E531" s="4">
        <v>45232</v>
      </c>
    </row>
    <row r="532" spans="1:23" x14ac:dyDescent="0.25">
      <c r="A532" s="1" t="str">
        <f>"HARPERS &amp; CO (CARDS &amp; GIFTS) LTD"</f>
        <v>HARPERS &amp; CO (CARDS &amp; GIFTS) LTD</v>
      </c>
      <c r="B532" t="str">
        <f>"09791222"</f>
        <v>09791222</v>
      </c>
      <c r="C532" s="2" t="s">
        <v>371</v>
      </c>
      <c r="D532" s="2" t="s">
        <v>34</v>
      </c>
      <c r="E532" s="4">
        <v>45240</v>
      </c>
    </row>
    <row r="533" spans="1:23" x14ac:dyDescent="0.25">
      <c r="A533" s="1" t="s">
        <v>677</v>
      </c>
      <c r="B533">
        <v>10960188</v>
      </c>
      <c r="C533" s="2" t="s">
        <v>371</v>
      </c>
      <c r="D533" s="2" t="s">
        <v>34</v>
      </c>
      <c r="E533" s="4">
        <v>45246</v>
      </c>
    </row>
    <row r="534" spans="1:23" x14ac:dyDescent="0.25">
      <c r="A534" s="1" t="s">
        <v>697</v>
      </c>
      <c r="B534" t="s">
        <v>698</v>
      </c>
      <c r="C534" s="2" t="s">
        <v>371</v>
      </c>
      <c r="D534" s="2" t="s">
        <v>34</v>
      </c>
      <c r="E534" s="4">
        <v>45250</v>
      </c>
    </row>
    <row r="535" spans="1:23" x14ac:dyDescent="0.25">
      <c r="A535" s="1" t="str">
        <f>"OPERATING RISKS LIMITED"</f>
        <v>OPERATING RISKS LIMITED</v>
      </c>
      <c r="B535" t="str">
        <f>"07614899"</f>
        <v>07614899</v>
      </c>
      <c r="C535" s="2" t="s">
        <v>371</v>
      </c>
      <c r="D535" s="2" t="s">
        <v>34</v>
      </c>
      <c r="E535" s="4">
        <v>45257</v>
      </c>
    </row>
    <row r="536" spans="1:23" x14ac:dyDescent="0.25">
      <c r="A536" s="1" t="str">
        <f>"DJB LIMITED"</f>
        <v>DJB LIMITED</v>
      </c>
      <c r="B536" t="str">
        <f>"05734737"</f>
        <v>05734737</v>
      </c>
      <c r="C536" s="2" t="s">
        <v>371</v>
      </c>
      <c r="D536" s="2" t="s">
        <v>34</v>
      </c>
      <c r="E536" s="4">
        <v>45258</v>
      </c>
    </row>
    <row r="537" spans="1:23" s="15" customFormat="1" x14ac:dyDescent="0.25">
      <c r="A537" s="1" t="s">
        <v>493</v>
      </c>
      <c r="B537">
        <v>13509213</v>
      </c>
      <c r="C537" s="2" t="s">
        <v>81</v>
      </c>
      <c r="D537" s="2" t="s">
        <v>7</v>
      </c>
      <c r="E537" s="4">
        <v>45229</v>
      </c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</row>
    <row r="538" spans="1:23" s="15" customFormat="1" x14ac:dyDescent="0.25">
      <c r="A538" s="1" t="s">
        <v>458</v>
      </c>
      <c r="B538">
        <v>8375655</v>
      </c>
      <c r="C538" s="2" t="s">
        <v>81</v>
      </c>
      <c r="D538" s="2" t="s">
        <v>7</v>
      </c>
      <c r="E538" s="4">
        <v>45229</v>
      </c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</row>
    <row r="539" spans="1:23" x14ac:dyDescent="0.25">
      <c r="A539" s="1" t="str">
        <f>"SAMSARA MIND AND BODY LIMITED"</f>
        <v>SAMSARA MIND AND BODY LIMITED</v>
      </c>
      <c r="B539" t="str">
        <f>"08346212"</f>
        <v>08346212</v>
      </c>
      <c r="C539" s="2" t="s">
        <v>81</v>
      </c>
      <c r="D539" s="2" t="s">
        <v>7</v>
      </c>
      <c r="E539" s="4">
        <v>45231</v>
      </c>
    </row>
    <row r="540" spans="1:23" x14ac:dyDescent="0.25">
      <c r="A540" s="1" t="str">
        <f>"VMR GROUP LTD"</f>
        <v>VMR GROUP LTD</v>
      </c>
      <c r="B540" t="str">
        <f>"12030669"</f>
        <v>12030669</v>
      </c>
      <c r="C540" s="2" t="s">
        <v>81</v>
      </c>
      <c r="D540" s="2" t="s">
        <v>7</v>
      </c>
      <c r="E540" s="4">
        <v>45232</v>
      </c>
    </row>
    <row r="541" spans="1:23" x14ac:dyDescent="0.25">
      <c r="A541" s="1" t="str">
        <f>"T&amp;K INTERIORS LTD"</f>
        <v>T&amp;K INTERIORS LTD</v>
      </c>
      <c r="B541" t="str">
        <f>"09793802"</f>
        <v>09793802</v>
      </c>
      <c r="C541" s="2" t="s">
        <v>81</v>
      </c>
      <c r="D541" s="2" t="s">
        <v>7</v>
      </c>
      <c r="E541" s="4">
        <v>45232</v>
      </c>
    </row>
    <row r="542" spans="1:23" x14ac:dyDescent="0.25">
      <c r="A542" s="1" t="str">
        <f>"LC PROPS LTD"</f>
        <v>LC PROPS LTD</v>
      </c>
      <c r="B542" t="str">
        <f>"12221838"</f>
        <v>12221838</v>
      </c>
      <c r="C542" s="2" t="s">
        <v>81</v>
      </c>
      <c r="D542" s="2" t="s">
        <v>7</v>
      </c>
      <c r="E542" s="4">
        <v>45237</v>
      </c>
    </row>
    <row r="543" spans="1:23" x14ac:dyDescent="0.25">
      <c r="A543" s="1" t="str">
        <f>"EATWELL BECKENHAM LIMITED"</f>
        <v>EATWELL BECKENHAM LIMITED</v>
      </c>
      <c r="B543" t="str">
        <f>"11985835"</f>
        <v>11985835</v>
      </c>
      <c r="C543" s="2" t="s">
        <v>81</v>
      </c>
      <c r="D543" s="2" t="s">
        <v>7</v>
      </c>
      <c r="E543" s="4">
        <v>45238</v>
      </c>
    </row>
    <row r="544" spans="1:23" x14ac:dyDescent="0.25">
      <c r="A544" s="1" t="str">
        <f>"ADEEM STORES LTD"</f>
        <v>ADEEM STORES LTD</v>
      </c>
      <c r="B544" t="str">
        <f>"11390192"</f>
        <v>11390192</v>
      </c>
      <c r="C544" s="2" t="s">
        <v>81</v>
      </c>
      <c r="D544" s="2" t="s">
        <v>7</v>
      </c>
      <c r="E544" s="4">
        <v>45239</v>
      </c>
    </row>
    <row r="545" spans="1:5" x14ac:dyDescent="0.25">
      <c r="A545" s="1" t="str">
        <f>"GREEN JOY FOODS LIMITED"</f>
        <v>GREEN JOY FOODS LIMITED</v>
      </c>
      <c r="B545" t="str">
        <f>"14456236"</f>
        <v>14456236</v>
      </c>
      <c r="C545" s="2" t="s">
        <v>81</v>
      </c>
      <c r="D545" s="2" t="s">
        <v>7</v>
      </c>
      <c r="E545" s="4">
        <v>45243</v>
      </c>
    </row>
    <row r="546" spans="1:5" x14ac:dyDescent="0.25">
      <c r="A546" s="1" t="str">
        <f>"EVOLVE CS GROUP LIMITED"</f>
        <v>EVOLVE CS GROUP LIMITED</v>
      </c>
      <c r="B546" t="str">
        <f>"12698675"</f>
        <v>12698675</v>
      </c>
      <c r="C546" s="2" t="s">
        <v>81</v>
      </c>
      <c r="D546" s="2" t="s">
        <v>7</v>
      </c>
      <c r="E546" s="4">
        <v>45243</v>
      </c>
    </row>
    <row r="547" spans="1:5" x14ac:dyDescent="0.25">
      <c r="A547" s="1" t="str">
        <f>"M'BAR'E LTD"</f>
        <v>M'BAR'E LTD</v>
      </c>
      <c r="B547" t="str">
        <f>"11924507"</f>
        <v>11924507</v>
      </c>
      <c r="C547" s="2" t="s">
        <v>81</v>
      </c>
      <c r="D547" s="2" t="s">
        <v>7</v>
      </c>
      <c r="E547" s="4">
        <v>45245</v>
      </c>
    </row>
    <row r="548" spans="1:5" x14ac:dyDescent="0.25">
      <c r="A548" s="1" t="str">
        <f>"YAMAS CATERING LTD"</f>
        <v>YAMAS CATERING LTD</v>
      </c>
      <c r="B548" t="str">
        <f>"11628665"</f>
        <v>11628665</v>
      </c>
      <c r="C548" s="2" t="s">
        <v>81</v>
      </c>
      <c r="D548" s="2" t="s">
        <v>7</v>
      </c>
      <c r="E548" s="4">
        <v>45245</v>
      </c>
    </row>
    <row r="549" spans="1:5" x14ac:dyDescent="0.25">
      <c r="A549" s="1" t="str">
        <f>"LINDPRO LIMITED"</f>
        <v>LINDPRO LIMITED</v>
      </c>
      <c r="B549" t="str">
        <f>"11349020"</f>
        <v>11349020</v>
      </c>
      <c r="C549" s="2" t="s">
        <v>81</v>
      </c>
      <c r="D549" s="2" t="s">
        <v>7</v>
      </c>
      <c r="E549" s="4">
        <v>45245</v>
      </c>
    </row>
    <row r="550" spans="1:5" x14ac:dyDescent="0.25">
      <c r="A550" s="1" t="s">
        <v>737</v>
      </c>
      <c r="B550" t="s">
        <v>738</v>
      </c>
      <c r="C550" s="2" t="s">
        <v>81</v>
      </c>
      <c r="D550" s="2" t="s">
        <v>7</v>
      </c>
      <c r="E550" s="4">
        <v>45246</v>
      </c>
    </row>
    <row r="551" spans="1:5" x14ac:dyDescent="0.25">
      <c r="A551" s="1" t="str">
        <f>"MUST TASTE LTD"</f>
        <v>MUST TASTE LTD</v>
      </c>
      <c r="B551" t="str">
        <f>"11721836"</f>
        <v>11721836</v>
      </c>
      <c r="C551" s="2" t="s">
        <v>81</v>
      </c>
      <c r="D551" s="2" t="s">
        <v>7</v>
      </c>
      <c r="E551" s="4">
        <v>45250</v>
      </c>
    </row>
    <row r="552" spans="1:5" x14ac:dyDescent="0.25">
      <c r="A552" s="1" t="str">
        <f>"N1 RESTAURANT LTD"</f>
        <v>N1 RESTAURANT LTD</v>
      </c>
      <c r="B552" t="str">
        <f>"14063333"</f>
        <v>14063333</v>
      </c>
      <c r="C552" s="2" t="s">
        <v>81</v>
      </c>
      <c r="D552" s="2" t="s">
        <v>7</v>
      </c>
      <c r="E552" s="4">
        <v>45250</v>
      </c>
    </row>
    <row r="553" spans="1:5" x14ac:dyDescent="0.25">
      <c r="A553" s="1" t="str">
        <f>"ADF CATERING LTD"</f>
        <v>ADF CATERING LTD</v>
      </c>
      <c r="B553" t="str">
        <f>"11043560"</f>
        <v>11043560</v>
      </c>
      <c r="C553" s="2" t="s">
        <v>81</v>
      </c>
      <c r="D553" s="2" t="s">
        <v>7</v>
      </c>
      <c r="E553" s="4">
        <v>45252</v>
      </c>
    </row>
    <row r="554" spans="1:5" x14ac:dyDescent="0.25">
      <c r="A554" s="1" t="str">
        <f>"OK4U LIMITED"</f>
        <v>OK4U LIMITED</v>
      </c>
      <c r="B554" t="str">
        <f>"03929500"</f>
        <v>03929500</v>
      </c>
      <c r="C554" s="2" t="s">
        <v>235</v>
      </c>
      <c r="D554" s="2" t="s">
        <v>169</v>
      </c>
      <c r="E554" s="4">
        <v>45224</v>
      </c>
    </row>
    <row r="555" spans="1:5" x14ac:dyDescent="0.25">
      <c r="A555" s="1" t="s">
        <v>560</v>
      </c>
      <c r="B555">
        <v>11334440</v>
      </c>
      <c r="C555" s="2" t="s">
        <v>235</v>
      </c>
      <c r="D555" s="2" t="s">
        <v>169</v>
      </c>
      <c r="E555" s="4">
        <v>45230</v>
      </c>
    </row>
    <row r="556" spans="1:5" x14ac:dyDescent="0.25">
      <c r="A556" s="1" t="s">
        <v>580</v>
      </c>
      <c r="B556">
        <v>12381841</v>
      </c>
      <c r="C556" s="2" t="s">
        <v>235</v>
      </c>
      <c r="D556" s="2" t="s">
        <v>169</v>
      </c>
      <c r="E556" s="4">
        <v>45231</v>
      </c>
    </row>
    <row r="557" spans="1:5" x14ac:dyDescent="0.25">
      <c r="A557" s="1" t="str">
        <f>"BUILDING SOLUTIONS &amp; MORE LTD"</f>
        <v>BUILDING SOLUTIONS &amp; MORE LTD</v>
      </c>
      <c r="B557" t="str">
        <f>"10171130"</f>
        <v>10171130</v>
      </c>
      <c r="C557" s="2" t="s">
        <v>235</v>
      </c>
      <c r="D557" s="2" t="s">
        <v>169</v>
      </c>
      <c r="E557" s="4">
        <v>45231</v>
      </c>
    </row>
    <row r="558" spans="1:5" x14ac:dyDescent="0.25">
      <c r="A558" s="1" t="str">
        <f>"GALLAGHER ASSOCIATES LIMITED"</f>
        <v>GALLAGHER ASSOCIATES LIMITED</v>
      </c>
      <c r="B558" t="str">
        <f>"05387885"</f>
        <v>05387885</v>
      </c>
      <c r="C558" s="2" t="s">
        <v>235</v>
      </c>
      <c r="D558" s="2" t="s">
        <v>169</v>
      </c>
      <c r="E558" s="4">
        <v>45232</v>
      </c>
    </row>
    <row r="559" spans="1:5" x14ac:dyDescent="0.25">
      <c r="A559" s="1" t="str">
        <f>"UES ADVISORY LIMITED"</f>
        <v>UES ADVISORY LIMITED</v>
      </c>
      <c r="B559" t="str">
        <f>"08373685"</f>
        <v>08373685</v>
      </c>
      <c r="C559" s="2" t="s">
        <v>235</v>
      </c>
      <c r="D559" s="2" t="s">
        <v>169</v>
      </c>
      <c r="E559" s="4">
        <v>45238</v>
      </c>
    </row>
    <row r="560" spans="1:5" x14ac:dyDescent="0.25">
      <c r="A560" s="1" t="str">
        <f>"SPIRIT AND SOUL WELLBEING CIC"</f>
        <v>SPIRIT AND SOUL WELLBEING CIC</v>
      </c>
      <c r="B560" t="str">
        <f>"10575340"</f>
        <v>10575340</v>
      </c>
      <c r="C560" s="2" t="s">
        <v>235</v>
      </c>
      <c r="D560" s="2" t="s">
        <v>169</v>
      </c>
      <c r="E560" s="4">
        <v>45238</v>
      </c>
    </row>
    <row r="561" spans="1:5" x14ac:dyDescent="0.25">
      <c r="A561" s="1" t="str">
        <f>"ROBAIERS INNS LLP"</f>
        <v>ROBAIERS INNS LLP</v>
      </c>
      <c r="B561" t="str">
        <f>"OC439467"</f>
        <v>OC439467</v>
      </c>
      <c r="C561" s="2" t="s">
        <v>235</v>
      </c>
      <c r="D561" s="2" t="s">
        <v>169</v>
      </c>
      <c r="E561" s="4">
        <v>45239</v>
      </c>
    </row>
    <row r="562" spans="1:5" x14ac:dyDescent="0.25">
      <c r="A562" s="1" t="str">
        <f>"SL FABRICATIONS LTD"</f>
        <v>SL FABRICATIONS LTD</v>
      </c>
      <c r="B562" t="str">
        <f>"12484664"</f>
        <v>12484664</v>
      </c>
      <c r="C562" s="2" t="s">
        <v>235</v>
      </c>
      <c r="D562" s="2" t="s">
        <v>169</v>
      </c>
      <c r="E562" s="4">
        <v>45244</v>
      </c>
    </row>
    <row r="563" spans="1:5" x14ac:dyDescent="0.25">
      <c r="A563" s="1" t="str">
        <f>"CODEX TRANSPORT LTD"</f>
        <v>CODEX TRANSPORT LTD</v>
      </c>
      <c r="B563" t="str">
        <f>"08972219"</f>
        <v>08972219</v>
      </c>
      <c r="C563" s="2" t="s">
        <v>235</v>
      </c>
      <c r="D563" s="2" t="s">
        <v>169</v>
      </c>
      <c r="E563" s="4">
        <v>45245</v>
      </c>
    </row>
    <row r="564" spans="1:5" x14ac:dyDescent="0.25">
      <c r="A564" s="1" t="str">
        <f>"ROSE GAS PLUMBING AND HEATING LTD"</f>
        <v>ROSE GAS PLUMBING AND HEATING LTD</v>
      </c>
      <c r="B564" t="str">
        <f>"11708775"</f>
        <v>11708775</v>
      </c>
      <c r="C564" s="2" t="s">
        <v>235</v>
      </c>
      <c r="D564" s="2" t="s">
        <v>169</v>
      </c>
      <c r="E564" s="4">
        <v>45245</v>
      </c>
    </row>
    <row r="565" spans="1:5" x14ac:dyDescent="0.25">
      <c r="A565" s="1" t="s">
        <v>656</v>
      </c>
      <c r="B565">
        <v>9480254</v>
      </c>
      <c r="C565" s="2" t="s">
        <v>235</v>
      </c>
      <c r="D565" s="2" t="s">
        <v>169</v>
      </c>
      <c r="E565" s="4">
        <v>45246</v>
      </c>
    </row>
    <row r="566" spans="1:5" x14ac:dyDescent="0.25">
      <c r="A566" s="1" t="str">
        <f>"CWNETWORKS LIMITED"</f>
        <v>CWNETWORKS LIMITED</v>
      </c>
      <c r="B566" t="str">
        <f>"04682452"</f>
        <v>04682452</v>
      </c>
      <c r="C566" s="2" t="s">
        <v>235</v>
      </c>
      <c r="D566" s="2" t="s">
        <v>169</v>
      </c>
      <c r="E566" s="4">
        <v>45251</v>
      </c>
    </row>
    <row r="567" spans="1:5" x14ac:dyDescent="0.25">
      <c r="A567" s="1" t="str">
        <f>"GO.KONNECT LTD"</f>
        <v>GO.KONNECT LTD</v>
      </c>
      <c r="B567" t="str">
        <f>"08919167"</f>
        <v>08919167</v>
      </c>
      <c r="C567" s="2" t="s">
        <v>235</v>
      </c>
      <c r="D567" s="2" t="s">
        <v>169</v>
      </c>
      <c r="E567" s="4">
        <v>45252</v>
      </c>
    </row>
    <row r="568" spans="1:5" x14ac:dyDescent="0.25">
      <c r="A568" s="1" t="str">
        <f>"HEREFORD AND WORCESTER LAWN CARE LIMITED"</f>
        <v>HEREFORD AND WORCESTER LAWN CARE LIMITED</v>
      </c>
      <c r="B568" t="str">
        <f>"11346671"</f>
        <v>11346671</v>
      </c>
      <c r="C568" s="2" t="s">
        <v>235</v>
      </c>
      <c r="D568" s="2" t="s">
        <v>169</v>
      </c>
      <c r="E568" s="4">
        <v>45252</v>
      </c>
    </row>
    <row r="569" spans="1:5" x14ac:dyDescent="0.25">
      <c r="A569" s="1" t="str">
        <f>"CORE DOG TRAINING LLP"</f>
        <v>CORE DOG TRAINING LLP</v>
      </c>
      <c r="B569" t="str">
        <f>"OC422810"</f>
        <v>OC422810</v>
      </c>
      <c r="C569" s="2" t="s">
        <v>235</v>
      </c>
      <c r="D569" s="2" t="s">
        <v>169</v>
      </c>
      <c r="E569" s="4">
        <v>45253</v>
      </c>
    </row>
    <row r="570" spans="1:5" x14ac:dyDescent="0.25">
      <c r="A570" s="1" t="str">
        <f>"LIONTREE LTD"</f>
        <v>LIONTREE LTD</v>
      </c>
      <c r="B570" t="str">
        <f>"11652861"</f>
        <v>11652861</v>
      </c>
      <c r="C570" s="2" t="s">
        <v>127</v>
      </c>
      <c r="D570" s="2" t="s">
        <v>128</v>
      </c>
      <c r="E570" s="4">
        <v>45233</v>
      </c>
    </row>
    <row r="571" spans="1:5" x14ac:dyDescent="0.25">
      <c r="A571" s="1" t="str">
        <f>"BERA CONTRACTORS LTD"</f>
        <v>BERA CONTRACTORS LTD</v>
      </c>
      <c r="B571" t="str">
        <f>"07035300"</f>
        <v>07035300</v>
      </c>
      <c r="C571" s="2" t="s">
        <v>127</v>
      </c>
      <c r="D571" s="2" t="s">
        <v>128</v>
      </c>
      <c r="E571" s="4">
        <v>45237</v>
      </c>
    </row>
    <row r="572" spans="1:5" x14ac:dyDescent="0.25">
      <c r="A572" s="1" t="str">
        <f>"KEIDEN ELECTRICAL SERVICES LTD"</f>
        <v>KEIDEN ELECTRICAL SERVICES LTD</v>
      </c>
      <c r="B572" t="str">
        <f>"09439978"</f>
        <v>09439978</v>
      </c>
      <c r="C572" s="2" t="s">
        <v>127</v>
      </c>
      <c r="D572" s="2" t="s">
        <v>128</v>
      </c>
      <c r="E572" s="4">
        <v>45238</v>
      </c>
    </row>
    <row r="573" spans="1:5" x14ac:dyDescent="0.25">
      <c r="A573" s="1" t="str">
        <f>"FOGA LTD"</f>
        <v>FOGA LTD</v>
      </c>
      <c r="B573" t="str">
        <f>"11831739"</f>
        <v>11831739</v>
      </c>
      <c r="C573" s="2" t="s">
        <v>127</v>
      </c>
      <c r="D573" s="2" t="s">
        <v>128</v>
      </c>
      <c r="E573" s="4">
        <v>45243</v>
      </c>
    </row>
    <row r="574" spans="1:5" x14ac:dyDescent="0.25">
      <c r="A574" s="1" t="str">
        <f>"TODOR POPOFF LTD"</f>
        <v>TODOR POPOFF LTD</v>
      </c>
      <c r="B574" t="str">
        <f>"09431101"</f>
        <v>09431101</v>
      </c>
      <c r="C574" s="2" t="s">
        <v>127</v>
      </c>
      <c r="D574" s="2" t="s">
        <v>128</v>
      </c>
      <c r="E574" s="4">
        <v>45250</v>
      </c>
    </row>
    <row r="575" spans="1:5" x14ac:dyDescent="0.25">
      <c r="A575" s="1" t="s">
        <v>678</v>
      </c>
      <c r="B575">
        <v>9838432</v>
      </c>
      <c r="C575" s="2" t="s">
        <v>127</v>
      </c>
      <c r="D575" s="2" t="s">
        <v>128</v>
      </c>
      <c r="E575" s="4">
        <v>45251</v>
      </c>
    </row>
    <row r="576" spans="1:5" x14ac:dyDescent="0.25">
      <c r="A576" s="1" t="str">
        <f>"FOODS JUNGLE LTD"</f>
        <v>FOODS JUNGLE LTD</v>
      </c>
      <c r="B576" t="str">
        <f>"12450028"</f>
        <v>12450028</v>
      </c>
      <c r="C576" s="2" t="s">
        <v>127</v>
      </c>
      <c r="D576" s="2" t="s">
        <v>128</v>
      </c>
      <c r="E576" s="4">
        <v>45254</v>
      </c>
    </row>
    <row r="577" spans="1:5" x14ac:dyDescent="0.25">
      <c r="A577" s="1" t="str">
        <f>"FOUR SEASONS CAR WASH LTD"</f>
        <v>FOUR SEASONS CAR WASH LTD</v>
      </c>
      <c r="B577" t="str">
        <f>"11333324"</f>
        <v>11333324</v>
      </c>
      <c r="C577" s="2" t="s">
        <v>127</v>
      </c>
      <c r="D577" s="2" t="s">
        <v>128</v>
      </c>
      <c r="E577" s="4">
        <v>45257</v>
      </c>
    </row>
    <row r="578" spans="1:5" x14ac:dyDescent="0.25">
      <c r="A578" s="1" t="str">
        <f>"DIAMOND DESIGNS AND BUILD LIMITED"</f>
        <v>DIAMOND DESIGNS AND BUILD LIMITED</v>
      </c>
      <c r="B578" t="str">
        <f>"09908300"</f>
        <v>09908300</v>
      </c>
      <c r="C578" s="2" t="s">
        <v>127</v>
      </c>
      <c r="D578" s="2" t="s">
        <v>128</v>
      </c>
      <c r="E578" s="4">
        <v>45258</v>
      </c>
    </row>
    <row r="579" spans="1:5" x14ac:dyDescent="0.25">
      <c r="A579" s="1" t="s">
        <v>845</v>
      </c>
      <c r="B579">
        <v>7890947</v>
      </c>
      <c r="C579" s="2" t="s">
        <v>846</v>
      </c>
      <c r="D579" s="2" t="s">
        <v>7</v>
      </c>
      <c r="E579" s="4">
        <v>45253</v>
      </c>
    </row>
    <row r="580" spans="1:5" x14ac:dyDescent="0.25">
      <c r="A580" s="1" t="str">
        <f>"CACTUS TRADING NORTH LIMITED"</f>
        <v>CACTUS TRADING NORTH LIMITED</v>
      </c>
      <c r="B580" t="str">
        <f>"09635556"</f>
        <v>09635556</v>
      </c>
      <c r="C580" s="2" t="s">
        <v>846</v>
      </c>
      <c r="D580" s="2" t="s">
        <v>7</v>
      </c>
      <c r="E580" s="4">
        <v>45253</v>
      </c>
    </row>
    <row r="581" spans="1:5" x14ac:dyDescent="0.25">
      <c r="A581" s="1" t="str">
        <f>"PGMH LTD"</f>
        <v>PGMH LTD</v>
      </c>
      <c r="B581" t="str">
        <f>"07524267"</f>
        <v>07524267</v>
      </c>
      <c r="C581" s="2" t="s">
        <v>198</v>
      </c>
      <c r="D581" s="2" t="s">
        <v>88</v>
      </c>
      <c r="E581" s="4">
        <v>45225</v>
      </c>
    </row>
    <row r="582" spans="1:5" x14ac:dyDescent="0.25">
      <c r="A582" s="1" t="str">
        <f>"HOLLAND STREET MOTORS LTD"</f>
        <v>HOLLAND STREET MOTORS LTD</v>
      </c>
      <c r="B582" t="str">
        <f>"12261456"</f>
        <v>12261456</v>
      </c>
      <c r="C582" s="2" t="s">
        <v>198</v>
      </c>
      <c r="D582" s="2" t="s">
        <v>88</v>
      </c>
      <c r="E582" s="4">
        <v>45232</v>
      </c>
    </row>
    <row r="583" spans="1:5" x14ac:dyDescent="0.25">
      <c r="A583" s="1" t="str">
        <f>"HIDING SPACE LTD"</f>
        <v>HIDING SPACE LTD</v>
      </c>
      <c r="B583" t="str">
        <f>"10965249"</f>
        <v>10965249</v>
      </c>
      <c r="C583" s="2" t="s">
        <v>198</v>
      </c>
      <c r="D583" s="2" t="s">
        <v>88</v>
      </c>
      <c r="E583" s="4">
        <v>45232</v>
      </c>
    </row>
    <row r="584" spans="1:5" x14ac:dyDescent="0.25">
      <c r="A584" s="1" t="str">
        <f>"KNOCKTON AND CO LIMITED"</f>
        <v>KNOCKTON AND CO LIMITED</v>
      </c>
      <c r="B584" t="str">
        <f>"07573164"</f>
        <v>07573164</v>
      </c>
      <c r="C584" s="2" t="s">
        <v>198</v>
      </c>
      <c r="D584" s="2" t="s">
        <v>88</v>
      </c>
      <c r="E584" s="4">
        <v>45232</v>
      </c>
    </row>
    <row r="585" spans="1:5" x14ac:dyDescent="0.25">
      <c r="A585" s="1" t="str">
        <f>"LUXURY ESCAPES BATH LIMITED"</f>
        <v>LUXURY ESCAPES BATH LIMITED</v>
      </c>
      <c r="B585" t="str">
        <f>"09149891"</f>
        <v>09149891</v>
      </c>
      <c r="C585" s="2" t="s">
        <v>198</v>
      </c>
      <c r="D585" s="2" t="s">
        <v>88</v>
      </c>
      <c r="E585" s="4">
        <v>45232</v>
      </c>
    </row>
    <row r="586" spans="1:5" x14ac:dyDescent="0.25">
      <c r="A586" s="1" t="str">
        <f>"TRIM STREET APARTMENTS LIMITED"</f>
        <v>TRIM STREET APARTMENTS LIMITED</v>
      </c>
      <c r="B586" t="str">
        <f>"10491110"</f>
        <v>10491110</v>
      </c>
      <c r="C586" s="2" t="s">
        <v>198</v>
      </c>
      <c r="D586" s="2" t="s">
        <v>88</v>
      </c>
      <c r="E586" s="4">
        <v>45232</v>
      </c>
    </row>
    <row r="587" spans="1:5" x14ac:dyDescent="0.25">
      <c r="A587" s="1" t="str">
        <f>"HEALTH STYLE EMPORIUM LIMITED"</f>
        <v>HEALTH STYLE EMPORIUM LIMITED</v>
      </c>
      <c r="B587" t="str">
        <f>"08017143"</f>
        <v>08017143</v>
      </c>
      <c r="C587" s="2" t="s">
        <v>198</v>
      </c>
      <c r="D587" s="2" t="s">
        <v>88</v>
      </c>
      <c r="E587" s="4">
        <v>45232</v>
      </c>
    </row>
    <row r="588" spans="1:5" x14ac:dyDescent="0.25">
      <c r="A588" s="1" t="str">
        <f>"ALW III LTD"</f>
        <v>ALW III LTD</v>
      </c>
      <c r="B588" t="str">
        <f>"14843333"</f>
        <v>14843333</v>
      </c>
      <c r="C588" s="2" t="s">
        <v>198</v>
      </c>
      <c r="D588" s="2" t="s">
        <v>88</v>
      </c>
      <c r="E588" s="4">
        <v>45239</v>
      </c>
    </row>
    <row r="589" spans="1:5" x14ac:dyDescent="0.25">
      <c r="A589" s="1" t="str">
        <f>"REAL PLACES LIMITED"</f>
        <v>REAL PLACES LIMITED</v>
      </c>
      <c r="B589" t="str">
        <f>"13173774"</f>
        <v>13173774</v>
      </c>
      <c r="C589" s="2" t="s">
        <v>198</v>
      </c>
      <c r="D589" s="2" t="s">
        <v>88</v>
      </c>
      <c r="E589" s="4">
        <v>45239</v>
      </c>
    </row>
    <row r="590" spans="1:5" x14ac:dyDescent="0.25">
      <c r="A590" s="1" t="str">
        <f>"REAL SW LIMITED"</f>
        <v>REAL SW LIMITED</v>
      </c>
      <c r="B590" t="str">
        <f>"12422415"</f>
        <v>12422415</v>
      </c>
      <c r="C590" s="2" t="s">
        <v>198</v>
      </c>
      <c r="D590" s="2" t="s">
        <v>88</v>
      </c>
      <c r="E590" s="4">
        <v>45243</v>
      </c>
    </row>
    <row r="591" spans="1:5" x14ac:dyDescent="0.25">
      <c r="A591" s="1" t="s">
        <v>681</v>
      </c>
      <c r="B591">
        <v>4157237</v>
      </c>
      <c r="C591" s="2" t="s">
        <v>198</v>
      </c>
      <c r="D591" s="2" t="s">
        <v>88</v>
      </c>
      <c r="E591" s="4">
        <v>45246</v>
      </c>
    </row>
    <row r="592" spans="1:5" x14ac:dyDescent="0.25">
      <c r="A592" s="1" t="s">
        <v>682</v>
      </c>
      <c r="B592">
        <v>10616790</v>
      </c>
      <c r="C592" s="2" t="s">
        <v>198</v>
      </c>
      <c r="D592" s="2" t="s">
        <v>88</v>
      </c>
      <c r="E592" s="4">
        <v>45246</v>
      </c>
    </row>
    <row r="593" spans="1:5" x14ac:dyDescent="0.25">
      <c r="A593" s="1" t="str">
        <f>"REAL CONTRACTING GROUP LIMITED"</f>
        <v>REAL CONTRACTING GROUP LIMITED</v>
      </c>
      <c r="B593" t="str">
        <f>"13177464"</f>
        <v>13177464</v>
      </c>
      <c r="C593" s="2" t="s">
        <v>198</v>
      </c>
      <c r="D593" s="2" t="s">
        <v>88</v>
      </c>
      <c r="E593" s="4">
        <v>45250</v>
      </c>
    </row>
    <row r="594" spans="1:5" x14ac:dyDescent="0.25">
      <c r="A594" s="1" t="str">
        <f>"TOTAL BATHROOMS (SAFFRON WALDEN) LTD"</f>
        <v>TOTAL BATHROOMS (SAFFRON WALDEN) LTD</v>
      </c>
      <c r="B594" t="str">
        <f>"10890634"</f>
        <v>10890634</v>
      </c>
      <c r="C594" s="2" t="s">
        <v>187</v>
      </c>
      <c r="D594" s="2" t="s">
        <v>92</v>
      </c>
      <c r="E594" s="4">
        <v>44941</v>
      </c>
    </row>
    <row r="595" spans="1:5" x14ac:dyDescent="0.25">
      <c r="A595" s="1" t="s">
        <v>495</v>
      </c>
      <c r="B595">
        <v>6392433</v>
      </c>
      <c r="C595" s="2" t="s">
        <v>187</v>
      </c>
      <c r="D595" s="2" t="s">
        <v>92</v>
      </c>
      <c r="E595" s="4">
        <v>45230</v>
      </c>
    </row>
    <row r="596" spans="1:5" x14ac:dyDescent="0.25">
      <c r="A596" s="1" t="s">
        <v>531</v>
      </c>
      <c r="B596">
        <v>7110336</v>
      </c>
      <c r="C596" s="2" t="s">
        <v>187</v>
      </c>
      <c r="D596" s="2" t="s">
        <v>92</v>
      </c>
      <c r="E596" s="4">
        <v>45231</v>
      </c>
    </row>
    <row r="597" spans="1:5" x14ac:dyDescent="0.25">
      <c r="A597" s="1" t="str">
        <f>"CAJ ROPE ACCESS LIMITED"</f>
        <v>CAJ ROPE ACCESS LIMITED</v>
      </c>
      <c r="B597" t="str">
        <f>"11000850"</f>
        <v>11000850</v>
      </c>
      <c r="C597" s="2" t="s">
        <v>187</v>
      </c>
      <c r="D597" s="2" t="s">
        <v>92</v>
      </c>
      <c r="E597" s="4">
        <v>45233</v>
      </c>
    </row>
    <row r="598" spans="1:5" x14ac:dyDescent="0.25">
      <c r="A598" s="1" t="str">
        <f>"MARK DALTON LIMITED"</f>
        <v>MARK DALTON LIMITED</v>
      </c>
      <c r="B598" t="str">
        <f>"13610015"</f>
        <v>13610015</v>
      </c>
      <c r="C598" s="2" t="s">
        <v>187</v>
      </c>
      <c r="D598" s="2" t="s">
        <v>92</v>
      </c>
      <c r="E598" s="4">
        <v>45238</v>
      </c>
    </row>
    <row r="599" spans="1:5" x14ac:dyDescent="0.25">
      <c r="A599" s="1" t="str">
        <f>"MAINSTREAM ENTERTAINMENTS LIMITED"</f>
        <v>MAINSTREAM ENTERTAINMENTS LIMITED</v>
      </c>
      <c r="B599" t="str">
        <f>"06437850"</f>
        <v>06437850</v>
      </c>
      <c r="C599" s="2" t="s">
        <v>187</v>
      </c>
      <c r="D599" s="2" t="s">
        <v>92</v>
      </c>
      <c r="E599" s="4">
        <v>45239</v>
      </c>
    </row>
    <row r="600" spans="1:5" x14ac:dyDescent="0.25">
      <c r="A600" s="1" t="str">
        <f>"RIO BUILDING LIMITED"</f>
        <v>RIO BUILDING LIMITED</v>
      </c>
      <c r="B600" t="str">
        <f>"10931016"</f>
        <v>10931016</v>
      </c>
      <c r="C600" s="2" t="s">
        <v>187</v>
      </c>
      <c r="D600" s="2" t="s">
        <v>92</v>
      </c>
      <c r="E600" s="4">
        <v>45239</v>
      </c>
    </row>
    <row r="601" spans="1:5" x14ac:dyDescent="0.25">
      <c r="A601" s="1" t="str">
        <f>"PROJECT FABRICATIONS AND ENGINEERING PRODUCTS LIMITED"</f>
        <v>PROJECT FABRICATIONS AND ENGINEERING PRODUCTS LIMITED</v>
      </c>
      <c r="B601" t="str">
        <f>"06621433"</f>
        <v>06621433</v>
      </c>
      <c r="C601" s="2" t="s">
        <v>187</v>
      </c>
      <c r="D601" s="2" t="s">
        <v>92</v>
      </c>
      <c r="E601" s="4">
        <v>45240</v>
      </c>
    </row>
    <row r="602" spans="1:5" x14ac:dyDescent="0.25">
      <c r="A602" s="1" t="str">
        <f>"YES 2 SPORTS LTD"</f>
        <v>YES 2 SPORTS LTD</v>
      </c>
      <c r="B602" t="str">
        <f>"10787390"</f>
        <v>10787390</v>
      </c>
      <c r="C602" s="2" t="s">
        <v>187</v>
      </c>
      <c r="D602" s="2" t="s">
        <v>92</v>
      </c>
      <c r="E602" s="4">
        <v>45240</v>
      </c>
    </row>
    <row r="603" spans="1:5" x14ac:dyDescent="0.25">
      <c r="A603" s="1" t="str">
        <f>"THE HALFWAY INN BERKSHIRE LTD"</f>
        <v>THE HALFWAY INN BERKSHIRE LTD</v>
      </c>
      <c r="B603" t="str">
        <f>"14486574"</f>
        <v>14486574</v>
      </c>
      <c r="C603" s="2" t="s">
        <v>187</v>
      </c>
      <c r="D603" s="2" t="s">
        <v>92</v>
      </c>
      <c r="E603" s="4">
        <v>45243</v>
      </c>
    </row>
    <row r="604" spans="1:5" x14ac:dyDescent="0.25">
      <c r="A604" s="1" t="str">
        <f>"KATMANDU CONSULTANCY LIMITED"</f>
        <v>KATMANDU CONSULTANCY LIMITED</v>
      </c>
      <c r="B604" t="str">
        <f>"10257879"</f>
        <v>10257879</v>
      </c>
      <c r="C604" s="2" t="s">
        <v>187</v>
      </c>
      <c r="D604" s="2" t="s">
        <v>92</v>
      </c>
      <c r="E604" s="4">
        <v>45244</v>
      </c>
    </row>
    <row r="605" spans="1:5" x14ac:dyDescent="0.25">
      <c r="A605" s="1" t="str">
        <f>"THE PLOUGH GREAT CHESTERFORD LTD"</f>
        <v>THE PLOUGH GREAT CHESTERFORD LTD</v>
      </c>
      <c r="B605" t="str">
        <f>"10895426"</f>
        <v>10895426</v>
      </c>
      <c r="C605" s="2" t="s">
        <v>187</v>
      </c>
      <c r="D605" s="2" t="s">
        <v>92</v>
      </c>
      <c r="E605" s="4">
        <v>45246</v>
      </c>
    </row>
    <row r="606" spans="1:5" x14ac:dyDescent="0.25">
      <c r="A606" s="1" t="s">
        <v>632</v>
      </c>
      <c r="B606">
        <v>12448391</v>
      </c>
      <c r="C606" s="2" t="s">
        <v>187</v>
      </c>
      <c r="D606" s="2" t="s">
        <v>92</v>
      </c>
      <c r="E606" s="4">
        <v>45250</v>
      </c>
    </row>
    <row r="607" spans="1:5" x14ac:dyDescent="0.25">
      <c r="A607" s="1" t="s">
        <v>745</v>
      </c>
      <c r="B607">
        <v>11213371</v>
      </c>
      <c r="C607" s="2" t="s">
        <v>187</v>
      </c>
      <c r="D607" s="2" t="s">
        <v>92</v>
      </c>
      <c r="E607" s="4">
        <v>45251</v>
      </c>
    </row>
    <row r="608" spans="1:5" x14ac:dyDescent="0.25">
      <c r="A608" s="1" t="str">
        <f>"D.S.C. TELEMARKETING LIMITED"</f>
        <v>D.S.C. TELEMARKETING LIMITED</v>
      </c>
      <c r="B608" t="str">
        <f>"07000724"</f>
        <v>07000724</v>
      </c>
      <c r="C608" s="2" t="s">
        <v>187</v>
      </c>
      <c r="D608" s="2" t="s">
        <v>92</v>
      </c>
      <c r="E608" s="4">
        <v>45253</v>
      </c>
    </row>
    <row r="609" spans="1:5" x14ac:dyDescent="0.25">
      <c r="A609" s="1" t="str">
        <f>"RICHMOND ENGLISH SCHOOL LIMITED"</f>
        <v>RICHMOND ENGLISH SCHOOL LIMITED</v>
      </c>
      <c r="B609" t="str">
        <f>"08478652"</f>
        <v>08478652</v>
      </c>
      <c r="C609" s="2" t="s">
        <v>187</v>
      </c>
      <c r="D609" s="2" t="s">
        <v>92</v>
      </c>
      <c r="E609" s="4">
        <v>45257</v>
      </c>
    </row>
    <row r="610" spans="1:5" x14ac:dyDescent="0.25">
      <c r="A610" s="1" t="str">
        <f>"ASPIRE SPORTS &amp; CULTURAL TRUST"</f>
        <v>ASPIRE SPORTS &amp; CULTURAL TRUST</v>
      </c>
      <c r="B610" t="str">
        <f>"06644292"</f>
        <v>06644292</v>
      </c>
      <c r="C610" s="2" t="s">
        <v>336</v>
      </c>
      <c r="D610" s="2" t="s">
        <v>337</v>
      </c>
      <c r="E610" s="4">
        <v>45240</v>
      </c>
    </row>
    <row r="611" spans="1:5" x14ac:dyDescent="0.25">
      <c r="A611" s="1" t="str">
        <f>"MAYNES ELECTRICS LTD"</f>
        <v>MAYNES ELECTRICS LTD</v>
      </c>
      <c r="B611" t="str">
        <f>"06844149"</f>
        <v>06844149</v>
      </c>
      <c r="C611" s="2" t="s">
        <v>123</v>
      </c>
      <c r="D611" s="2" t="s">
        <v>124</v>
      </c>
      <c r="E611" s="4">
        <v>45232</v>
      </c>
    </row>
    <row r="612" spans="1:5" x14ac:dyDescent="0.25">
      <c r="A612" s="1" t="str">
        <f>"HARRISON &amp; HICKS LIMITED"</f>
        <v>HARRISON &amp; HICKS LIMITED</v>
      </c>
      <c r="B612" t="str">
        <f>"09332280"</f>
        <v>09332280</v>
      </c>
      <c r="C612" s="2" t="s">
        <v>123</v>
      </c>
      <c r="D612" s="2" t="s">
        <v>124</v>
      </c>
      <c r="E612" s="4">
        <v>45238</v>
      </c>
    </row>
    <row r="613" spans="1:5" x14ac:dyDescent="0.25">
      <c r="A613" s="1" t="str">
        <f>"A BRAVE NEW WORLD LIMITED"</f>
        <v>A BRAVE NEW WORLD LIMITED</v>
      </c>
      <c r="B613" t="str">
        <f>"07966989"</f>
        <v>07966989</v>
      </c>
      <c r="C613" s="2" t="s">
        <v>123</v>
      </c>
      <c r="D613" s="2" t="s">
        <v>124</v>
      </c>
      <c r="E613" s="4">
        <v>45243</v>
      </c>
    </row>
    <row r="614" spans="1:5" x14ac:dyDescent="0.25">
      <c r="A614" s="1" t="s">
        <v>780</v>
      </c>
      <c r="B614">
        <v>10381305</v>
      </c>
      <c r="C614" s="2" t="s">
        <v>123</v>
      </c>
      <c r="D614" s="2" t="s">
        <v>124</v>
      </c>
      <c r="E614" s="4">
        <v>45251</v>
      </c>
    </row>
    <row r="615" spans="1:5" x14ac:dyDescent="0.25">
      <c r="A615" s="1" t="str">
        <f>"THE LIGHT HOUSE SOFTPLAY CAFE LTD"</f>
        <v>THE LIGHT HOUSE SOFTPLAY CAFE LTD</v>
      </c>
      <c r="B615" t="str">
        <f>"14078478"</f>
        <v>14078478</v>
      </c>
      <c r="C615" s="2" t="s">
        <v>123</v>
      </c>
      <c r="D615" s="2" t="s">
        <v>124</v>
      </c>
      <c r="E615" s="4">
        <v>45252</v>
      </c>
    </row>
    <row r="616" spans="1:5" x14ac:dyDescent="0.25">
      <c r="A616" s="1" t="s">
        <v>835</v>
      </c>
      <c r="B616">
        <v>12063452</v>
      </c>
      <c r="C616" s="2" t="s">
        <v>123</v>
      </c>
      <c r="D616" s="2" t="s">
        <v>124</v>
      </c>
      <c r="E616" s="4">
        <v>45253</v>
      </c>
    </row>
    <row r="617" spans="1:5" x14ac:dyDescent="0.25">
      <c r="A617" s="1" t="s">
        <v>839</v>
      </c>
      <c r="B617">
        <v>12652958</v>
      </c>
      <c r="C617" s="2" t="s">
        <v>123</v>
      </c>
      <c r="D617" s="2" t="s">
        <v>124</v>
      </c>
      <c r="E617" s="4">
        <v>45253</v>
      </c>
    </row>
    <row r="618" spans="1:5" x14ac:dyDescent="0.25">
      <c r="A618" s="1" t="str">
        <f>"AR LEISURE LIMITED"</f>
        <v>AR LEISURE LIMITED</v>
      </c>
      <c r="B618" t="str">
        <f>"12423257"</f>
        <v>12423257</v>
      </c>
      <c r="C618" s="2" t="s">
        <v>242</v>
      </c>
      <c r="D618" s="2" t="s">
        <v>172</v>
      </c>
      <c r="E618" s="4">
        <v>44940</v>
      </c>
    </row>
    <row r="619" spans="1:5" x14ac:dyDescent="0.25">
      <c r="A619" s="1" t="str">
        <f>"SPEED SCREED LIMITED"</f>
        <v>SPEED SCREED LIMITED</v>
      </c>
      <c r="B619" t="str">
        <f>"05896405"</f>
        <v>05896405</v>
      </c>
      <c r="C619" s="2" t="s">
        <v>242</v>
      </c>
      <c r="D619" s="2" t="s">
        <v>172</v>
      </c>
      <c r="E619" s="4">
        <v>45224</v>
      </c>
    </row>
    <row r="620" spans="1:5" x14ac:dyDescent="0.25">
      <c r="A620" s="1" t="str">
        <f>"DR KELLY-ROSE AESTHETICS LIMITED"</f>
        <v>DR KELLY-ROSE AESTHETICS LIMITED</v>
      </c>
      <c r="B620" t="str">
        <f>"12372281"</f>
        <v>12372281</v>
      </c>
      <c r="C620" s="2" t="s">
        <v>242</v>
      </c>
      <c r="D620" s="2" t="s">
        <v>172</v>
      </c>
      <c r="E620" s="4">
        <v>45225</v>
      </c>
    </row>
    <row r="621" spans="1:5" x14ac:dyDescent="0.25">
      <c r="A621" s="1" t="str">
        <f>"BOBBLES DAY NURSERY LTD"</f>
        <v>BOBBLES DAY NURSERY LTD</v>
      </c>
      <c r="B621" t="str">
        <f>"07096097"</f>
        <v>07096097</v>
      </c>
      <c r="C621" s="2" t="s">
        <v>242</v>
      </c>
      <c r="D621" s="2" t="s">
        <v>172</v>
      </c>
      <c r="E621" s="4">
        <v>45225</v>
      </c>
    </row>
    <row r="622" spans="1:5" x14ac:dyDescent="0.25">
      <c r="A622" s="1" t="s">
        <v>382</v>
      </c>
      <c r="B622">
        <v>13410792</v>
      </c>
      <c r="C622" s="2" t="s">
        <v>242</v>
      </c>
      <c r="D622" s="2" t="s">
        <v>172</v>
      </c>
      <c r="E622" s="4">
        <v>45226</v>
      </c>
    </row>
    <row r="623" spans="1:5" x14ac:dyDescent="0.25">
      <c r="A623" s="1" t="str">
        <f>"RICHMOND &amp; SONS HEATING AND PLUMBING LIMITED"</f>
        <v>RICHMOND &amp; SONS HEATING AND PLUMBING LIMITED</v>
      </c>
      <c r="B623" t="str">
        <f>"09773986"</f>
        <v>09773986</v>
      </c>
      <c r="C623" s="2" t="s">
        <v>242</v>
      </c>
      <c r="D623" s="2" t="s">
        <v>172</v>
      </c>
      <c r="E623" s="4">
        <v>45230</v>
      </c>
    </row>
    <row r="624" spans="1:5" x14ac:dyDescent="0.25">
      <c r="A624" s="1" t="str">
        <f>"ESTEEM COSMETIC CLINIC LIMITED"</f>
        <v>ESTEEM COSMETIC CLINIC LIMITED</v>
      </c>
      <c r="B624" t="str">
        <f>"08723874"</f>
        <v>08723874</v>
      </c>
      <c r="C624" s="2" t="s">
        <v>242</v>
      </c>
      <c r="D624" s="2" t="s">
        <v>172</v>
      </c>
      <c r="E624" s="4">
        <v>45232</v>
      </c>
    </row>
    <row r="625" spans="1:5" x14ac:dyDescent="0.25">
      <c r="A625" s="1" t="str">
        <f>"HOUSE PLUMBING &amp; GAS LTD"</f>
        <v>HOUSE PLUMBING &amp; GAS LTD</v>
      </c>
      <c r="B625" t="str">
        <f>"08558340"</f>
        <v>08558340</v>
      </c>
      <c r="C625" s="2" t="s">
        <v>242</v>
      </c>
      <c r="D625" s="2" t="s">
        <v>172</v>
      </c>
      <c r="E625" s="4">
        <v>45237</v>
      </c>
    </row>
    <row r="626" spans="1:5" x14ac:dyDescent="0.25">
      <c r="A626" s="1" t="str">
        <f>"PLATINUM TRAINING AND CONSULTANCY LTD"</f>
        <v>PLATINUM TRAINING AND CONSULTANCY LTD</v>
      </c>
      <c r="B626" t="str">
        <f>"12225960"</f>
        <v>12225960</v>
      </c>
      <c r="C626" s="2" t="s">
        <v>242</v>
      </c>
      <c r="D626" s="2" t="s">
        <v>172</v>
      </c>
      <c r="E626" s="4">
        <v>45239</v>
      </c>
    </row>
    <row r="627" spans="1:5" x14ac:dyDescent="0.25">
      <c r="A627" s="1" t="str">
        <f>"WESTLANDS TRADING LTD"</f>
        <v>WESTLANDS TRADING LTD</v>
      </c>
      <c r="B627" t="str">
        <f>"06837718"</f>
        <v>06837718</v>
      </c>
      <c r="C627" s="2" t="s">
        <v>242</v>
      </c>
      <c r="D627" s="2" t="s">
        <v>172</v>
      </c>
      <c r="E627" s="4">
        <v>45244</v>
      </c>
    </row>
    <row r="628" spans="1:5" x14ac:dyDescent="0.25">
      <c r="A628" s="1" t="s">
        <v>617</v>
      </c>
      <c r="B628">
        <v>12283290</v>
      </c>
      <c r="C628" s="2" t="s">
        <v>242</v>
      </c>
      <c r="D628" s="2" t="s">
        <v>172</v>
      </c>
      <c r="E628" s="4">
        <v>45245</v>
      </c>
    </row>
    <row r="629" spans="1:5" x14ac:dyDescent="0.25">
      <c r="A629" s="1" t="s">
        <v>629</v>
      </c>
      <c r="B629">
        <v>9545303</v>
      </c>
      <c r="C629" s="2" t="s">
        <v>242</v>
      </c>
      <c r="D629" s="2" t="s">
        <v>172</v>
      </c>
      <c r="E629" s="4">
        <v>45246</v>
      </c>
    </row>
    <row r="630" spans="1:5" x14ac:dyDescent="0.25">
      <c r="A630" s="1" t="s">
        <v>819</v>
      </c>
      <c r="B630">
        <v>11855782</v>
      </c>
      <c r="C630" s="2" t="s">
        <v>242</v>
      </c>
      <c r="D630" s="2" t="s">
        <v>172</v>
      </c>
      <c r="E630" s="4">
        <v>45251</v>
      </c>
    </row>
    <row r="631" spans="1:5" x14ac:dyDescent="0.25">
      <c r="A631" s="1" t="s">
        <v>414</v>
      </c>
      <c r="B631">
        <v>8838985</v>
      </c>
      <c r="C631" s="2" t="s">
        <v>40</v>
      </c>
      <c r="D631" s="2" t="s">
        <v>41</v>
      </c>
      <c r="E631" s="4">
        <v>45225</v>
      </c>
    </row>
    <row r="632" spans="1:5" x14ac:dyDescent="0.25">
      <c r="A632" s="1" t="s">
        <v>473</v>
      </c>
      <c r="B632">
        <v>11563800</v>
      </c>
      <c r="C632" s="2" t="s">
        <v>340</v>
      </c>
      <c r="D632" s="2" t="s">
        <v>41</v>
      </c>
      <c r="E632" s="4">
        <v>45230</v>
      </c>
    </row>
    <row r="633" spans="1:5" x14ac:dyDescent="0.25">
      <c r="A633" s="1" t="str">
        <f>"S &amp; J SPRINKLERS LIMITED"</f>
        <v>S &amp; J SPRINKLERS LIMITED</v>
      </c>
      <c r="B633" t="str">
        <f>"08064749"</f>
        <v>08064749</v>
      </c>
      <c r="C633" s="2" t="s">
        <v>340</v>
      </c>
      <c r="D633" s="2" t="s">
        <v>41</v>
      </c>
      <c r="E633" s="4">
        <v>45238</v>
      </c>
    </row>
    <row r="634" spans="1:5" x14ac:dyDescent="0.25">
      <c r="A634" s="1" t="str">
        <f>"FISHERMANS WHARF LIMITED"</f>
        <v>FISHERMANS WHARF LIMITED</v>
      </c>
      <c r="B634" t="str">
        <f>"07706787"</f>
        <v>07706787</v>
      </c>
      <c r="C634" s="2" t="s">
        <v>340</v>
      </c>
      <c r="D634" s="2" t="s">
        <v>41</v>
      </c>
      <c r="E634" s="4">
        <v>45244</v>
      </c>
    </row>
    <row r="635" spans="1:5" x14ac:dyDescent="0.25">
      <c r="A635" s="1" t="str">
        <f>"C.C.S. (CATERCARE) LIMITED"</f>
        <v>C.C.S. (CATERCARE) LIMITED</v>
      </c>
      <c r="B635" t="str">
        <f>"03088826"</f>
        <v>03088826</v>
      </c>
      <c r="C635" s="2" t="s">
        <v>348</v>
      </c>
      <c r="D635" s="2" t="s">
        <v>7</v>
      </c>
      <c r="E635" s="4">
        <v>45246</v>
      </c>
    </row>
    <row r="636" spans="1:5" x14ac:dyDescent="0.25">
      <c r="A636" s="1" t="s">
        <v>505</v>
      </c>
      <c r="B636">
        <v>8166838</v>
      </c>
      <c r="C636" s="2" t="s">
        <v>192</v>
      </c>
      <c r="D636" s="2" t="s">
        <v>193</v>
      </c>
      <c r="E636" s="4">
        <v>45225</v>
      </c>
    </row>
    <row r="637" spans="1:5" x14ac:dyDescent="0.25">
      <c r="A637" s="1" t="str">
        <f>"TASKIL LIMITED"</f>
        <v>TASKIL LIMITED</v>
      </c>
      <c r="B637" t="str">
        <f>"02724269"</f>
        <v>02724269</v>
      </c>
      <c r="C637" s="2" t="s">
        <v>192</v>
      </c>
      <c r="D637" s="2" t="s">
        <v>193</v>
      </c>
      <c r="E637" s="4">
        <v>45230</v>
      </c>
    </row>
    <row r="638" spans="1:5" x14ac:dyDescent="0.25">
      <c r="A638" s="1" t="str">
        <f>"PHONE MASTERS LIMITED"</f>
        <v>PHONE MASTERS LIMITED</v>
      </c>
      <c r="B638" t="str">
        <f>"07160514"</f>
        <v>07160514</v>
      </c>
      <c r="C638" s="2" t="s">
        <v>192</v>
      </c>
      <c r="D638" s="2" t="s">
        <v>193</v>
      </c>
      <c r="E638" s="4">
        <v>45244</v>
      </c>
    </row>
    <row r="639" spans="1:5" x14ac:dyDescent="0.25">
      <c r="A639" s="1" t="str">
        <f>"GEN ONE LTD"</f>
        <v>GEN ONE LTD</v>
      </c>
      <c r="B639" t="str">
        <f>"11441136"</f>
        <v>11441136</v>
      </c>
      <c r="C639" s="2" t="s">
        <v>192</v>
      </c>
      <c r="D639" s="2" t="s">
        <v>193</v>
      </c>
      <c r="E639" s="4">
        <v>45247</v>
      </c>
    </row>
    <row r="640" spans="1:5" x14ac:dyDescent="0.25">
      <c r="A640" s="1" t="str">
        <f>"CLOSE PARENT LIMITED"</f>
        <v>CLOSE PARENT LIMITED</v>
      </c>
      <c r="B640" t="str">
        <f>"05113280"</f>
        <v>05113280</v>
      </c>
      <c r="C640" s="2" t="s">
        <v>251</v>
      </c>
      <c r="D640" s="2" t="s">
        <v>252</v>
      </c>
      <c r="E640" s="4">
        <v>45237</v>
      </c>
    </row>
    <row r="641" spans="1:5" x14ac:dyDescent="0.25">
      <c r="A641" s="1" t="str">
        <f>"TOTAL CONTROL SYSTEMS LIMITED"</f>
        <v>TOTAL CONTROL SYSTEMS LIMITED</v>
      </c>
      <c r="B641" t="str">
        <f>"12900320"</f>
        <v>12900320</v>
      </c>
      <c r="C641" s="2" t="s">
        <v>251</v>
      </c>
      <c r="D641" s="2" t="s">
        <v>252</v>
      </c>
      <c r="E641" s="4">
        <v>45239</v>
      </c>
    </row>
    <row r="642" spans="1:5" x14ac:dyDescent="0.25">
      <c r="A642" s="1" t="str">
        <f>"BARRY BEST HAND CAR WASH LTD"</f>
        <v>BARRY BEST HAND CAR WASH LTD</v>
      </c>
      <c r="B642" t="str">
        <f>"14476423"</f>
        <v>14476423</v>
      </c>
      <c r="C642" s="2" t="s">
        <v>319</v>
      </c>
      <c r="D642" s="2" t="s">
        <v>243</v>
      </c>
      <c r="E642" s="4">
        <v>45231</v>
      </c>
    </row>
    <row r="643" spans="1:5" x14ac:dyDescent="0.25">
      <c r="A643" s="1" t="str">
        <f>"ELITE FENCING SYSTEMS LIMITED"</f>
        <v>ELITE FENCING SYSTEMS LIMITED</v>
      </c>
      <c r="B643" t="str">
        <f>"08841669"</f>
        <v>08841669</v>
      </c>
      <c r="C643" s="2" t="s">
        <v>319</v>
      </c>
      <c r="D643" s="2" t="s">
        <v>243</v>
      </c>
      <c r="E643" s="4">
        <v>45233</v>
      </c>
    </row>
    <row r="644" spans="1:5" x14ac:dyDescent="0.25">
      <c r="A644" s="1" t="str">
        <f>"SOPRA 73 LTD"</f>
        <v>SOPRA 73 LTD</v>
      </c>
      <c r="B644" t="str">
        <f>"13601036"</f>
        <v>13601036</v>
      </c>
      <c r="C644" s="2" t="s">
        <v>319</v>
      </c>
      <c r="D644" s="2" t="s">
        <v>243</v>
      </c>
      <c r="E644" s="4">
        <v>45237</v>
      </c>
    </row>
    <row r="645" spans="1:5" x14ac:dyDescent="0.25">
      <c r="A645" s="1" t="str">
        <f>"CARDIFF CAR WAREHOUSE LTD"</f>
        <v>CARDIFF CAR WAREHOUSE LTD</v>
      </c>
      <c r="B645" t="str">
        <f>"08795967"</f>
        <v>08795967</v>
      </c>
      <c r="C645" s="2" t="s">
        <v>319</v>
      </c>
      <c r="D645" s="2" t="s">
        <v>243</v>
      </c>
      <c r="E645" s="4">
        <v>45244</v>
      </c>
    </row>
    <row r="646" spans="1:5" x14ac:dyDescent="0.25">
      <c r="A646" s="1" t="s">
        <v>465</v>
      </c>
      <c r="B646">
        <v>4477477</v>
      </c>
      <c r="C646" s="2" t="s">
        <v>53</v>
      </c>
      <c r="D646" s="2" t="s">
        <v>54</v>
      </c>
      <c r="E646" s="4">
        <v>45226</v>
      </c>
    </row>
    <row r="647" spans="1:5" x14ac:dyDescent="0.25">
      <c r="A647" s="1" t="str">
        <f>"ENCAPSULATE MARKETING LTD"</f>
        <v>ENCAPSULATE MARKETING LTD</v>
      </c>
      <c r="B647" t="str">
        <f>"11507145"</f>
        <v>11507145</v>
      </c>
      <c r="C647" s="2" t="s">
        <v>288</v>
      </c>
      <c r="D647" s="2" t="s">
        <v>54</v>
      </c>
      <c r="E647" s="4">
        <v>45226</v>
      </c>
    </row>
    <row r="648" spans="1:5" x14ac:dyDescent="0.25">
      <c r="A648" s="1" t="s">
        <v>479</v>
      </c>
      <c r="B648">
        <v>12079602</v>
      </c>
      <c r="C648" s="2" t="s">
        <v>53</v>
      </c>
      <c r="D648" s="2" t="s">
        <v>54</v>
      </c>
      <c r="E648" s="4">
        <v>45230</v>
      </c>
    </row>
    <row r="649" spans="1:5" x14ac:dyDescent="0.25">
      <c r="A649" s="1" t="str">
        <f>"PIZZA PAN (LINCOLN) LIMITED"</f>
        <v>PIZZA PAN (LINCOLN) LIMITED</v>
      </c>
      <c r="B649" t="str">
        <f>"12223126"</f>
        <v>12223126</v>
      </c>
      <c r="C649" s="2" t="s">
        <v>53</v>
      </c>
      <c r="D649" s="2" t="s">
        <v>54</v>
      </c>
      <c r="E649" s="4">
        <v>45230</v>
      </c>
    </row>
    <row r="650" spans="1:5" x14ac:dyDescent="0.25">
      <c r="A650" s="1" t="str">
        <f>"YOKOHAMA KJ LTD"</f>
        <v>YOKOHAMA KJ LTD</v>
      </c>
      <c r="B650" t="str">
        <f>"10851457"</f>
        <v>10851457</v>
      </c>
      <c r="C650" s="2" t="s">
        <v>53</v>
      </c>
      <c r="D650" s="2" t="s">
        <v>54</v>
      </c>
      <c r="E650" s="4">
        <v>45237</v>
      </c>
    </row>
    <row r="651" spans="1:5" x14ac:dyDescent="0.25">
      <c r="A651" s="1" t="str">
        <f>"BLUEHORSE LDN LTD"</f>
        <v>BLUEHORSE LDN LTD</v>
      </c>
      <c r="B651" t="str">
        <f>"13836817"</f>
        <v>13836817</v>
      </c>
      <c r="C651" s="2" t="s">
        <v>53</v>
      </c>
      <c r="D651" s="2" t="s">
        <v>54</v>
      </c>
      <c r="E651" s="4">
        <v>45238</v>
      </c>
    </row>
    <row r="652" spans="1:5" x14ac:dyDescent="0.25">
      <c r="A652" s="1" t="str">
        <f>"LUSSO UPHOLSTERY LTD"</f>
        <v>LUSSO UPHOLSTERY LTD</v>
      </c>
      <c r="B652" t="str">
        <f>"12851963"</f>
        <v>12851963</v>
      </c>
      <c r="C652" s="2" t="s">
        <v>288</v>
      </c>
      <c r="D652" s="2" t="s">
        <v>54</v>
      </c>
      <c r="E652" s="4">
        <v>45238</v>
      </c>
    </row>
    <row r="653" spans="1:5" x14ac:dyDescent="0.25">
      <c r="A653" s="1" t="str">
        <f>"MISSAR LTD"</f>
        <v>MISSAR LTD</v>
      </c>
      <c r="B653" t="str">
        <f>"09106843"</f>
        <v>09106843</v>
      </c>
      <c r="C653" s="2" t="s">
        <v>53</v>
      </c>
      <c r="D653" s="2" t="s">
        <v>54</v>
      </c>
      <c r="E653" s="4">
        <v>45238</v>
      </c>
    </row>
    <row r="654" spans="1:5" x14ac:dyDescent="0.25">
      <c r="A654" s="1" t="str">
        <f>"RESHMA (NW) LTD"</f>
        <v>RESHMA (NW) LTD</v>
      </c>
      <c r="B654" t="str">
        <f>"11715272"</f>
        <v>11715272</v>
      </c>
      <c r="C654" s="2" t="s">
        <v>53</v>
      </c>
      <c r="D654" s="2" t="s">
        <v>54</v>
      </c>
      <c r="E654" s="4">
        <v>45240</v>
      </c>
    </row>
    <row r="655" spans="1:5" x14ac:dyDescent="0.25">
      <c r="A655" s="1" t="str">
        <f>"JALFREZI (BRAMHALL) LIMITED"</f>
        <v>JALFREZI (BRAMHALL) LIMITED</v>
      </c>
      <c r="B655" t="str">
        <f>"07095569"</f>
        <v>07095569</v>
      </c>
      <c r="C655" s="2" t="s">
        <v>53</v>
      </c>
      <c r="D655" s="2" t="s">
        <v>54</v>
      </c>
      <c r="E655" s="4">
        <v>45240</v>
      </c>
    </row>
    <row r="656" spans="1:5" x14ac:dyDescent="0.25">
      <c r="A656" s="1" t="str">
        <f>"FURNITURE MILL OUTLET LTD"</f>
        <v>FURNITURE MILL OUTLET LTD</v>
      </c>
      <c r="B656" t="str">
        <f>"09377178"</f>
        <v>09377178</v>
      </c>
      <c r="C656" s="2" t="s">
        <v>53</v>
      </c>
      <c r="D656" s="2" t="s">
        <v>54</v>
      </c>
      <c r="E656" s="4">
        <v>45244</v>
      </c>
    </row>
    <row r="657" spans="1:5" x14ac:dyDescent="0.25">
      <c r="A657" s="1" t="str">
        <f>"AUSTEN TEMPLE LIMITED"</f>
        <v>AUSTEN TEMPLE LIMITED</v>
      </c>
      <c r="B657" t="str">
        <f>"07560583"</f>
        <v>07560583</v>
      </c>
      <c r="C657" s="2" t="s">
        <v>53</v>
      </c>
      <c r="D657" s="2" t="s">
        <v>54</v>
      </c>
      <c r="E657" s="4">
        <v>45245</v>
      </c>
    </row>
    <row r="658" spans="1:5" x14ac:dyDescent="0.25">
      <c r="A658" s="1" t="str">
        <f>"ABACUS GATE &amp; GARAGE DOOR SYSTEMS LTD"</f>
        <v>ABACUS GATE &amp; GARAGE DOOR SYSTEMS LTD</v>
      </c>
      <c r="B658" t="str">
        <f>"07627454"</f>
        <v>07627454</v>
      </c>
      <c r="C658" s="2" t="s">
        <v>288</v>
      </c>
      <c r="D658" s="2" t="s">
        <v>54</v>
      </c>
      <c r="E658" s="4">
        <v>45246</v>
      </c>
    </row>
    <row r="659" spans="1:5" x14ac:dyDescent="0.25">
      <c r="A659" s="1" t="str">
        <f>"J.J.B HEATING LIMITED"</f>
        <v>J.J.B HEATING LIMITED</v>
      </c>
      <c r="B659" t="str">
        <f>"10085852"</f>
        <v>10085852</v>
      </c>
      <c r="C659" s="2" t="s">
        <v>288</v>
      </c>
      <c r="D659" s="2" t="s">
        <v>54</v>
      </c>
      <c r="E659" s="4">
        <v>45247</v>
      </c>
    </row>
    <row r="660" spans="1:5" x14ac:dyDescent="0.25">
      <c r="A660" s="1" t="str">
        <f>"OAKWOOD GARDEN ROOMS LTD"</f>
        <v>OAKWOOD GARDEN ROOMS LTD</v>
      </c>
      <c r="B660" t="str">
        <f>"12139243"</f>
        <v>12139243</v>
      </c>
      <c r="C660" s="2" t="s">
        <v>53</v>
      </c>
      <c r="D660" s="2" t="s">
        <v>54</v>
      </c>
      <c r="E660" s="4">
        <v>45247</v>
      </c>
    </row>
    <row r="661" spans="1:5" x14ac:dyDescent="0.25">
      <c r="A661" s="1" t="str">
        <f>"SHIMLA LOUNGE HOLMFIRTH LTD"</f>
        <v>SHIMLA LOUNGE HOLMFIRTH LTD</v>
      </c>
      <c r="B661" t="str">
        <f>"12191013"</f>
        <v>12191013</v>
      </c>
      <c r="C661" s="2" t="s">
        <v>53</v>
      </c>
      <c r="D661" s="2" t="s">
        <v>54</v>
      </c>
      <c r="E661" s="4">
        <v>45251</v>
      </c>
    </row>
    <row r="662" spans="1:5" x14ac:dyDescent="0.25">
      <c r="A662" s="1" t="str">
        <f>"RIVERBANK COMMERCE LIMITED"</f>
        <v>RIVERBANK COMMERCE LIMITED</v>
      </c>
      <c r="B662" t="str">
        <f>"08464990"</f>
        <v>08464990</v>
      </c>
      <c r="C662" s="2" t="s">
        <v>288</v>
      </c>
      <c r="D662" s="2" t="s">
        <v>54</v>
      </c>
      <c r="E662" s="4">
        <v>45258</v>
      </c>
    </row>
    <row r="663" spans="1:5" x14ac:dyDescent="0.25">
      <c r="A663" s="1" t="str">
        <f>"W.S.FURNISHINGS LIMITED"</f>
        <v>W.S.FURNISHINGS LIMITED</v>
      </c>
      <c r="B663" t="str">
        <f>"03467248"</f>
        <v>03467248</v>
      </c>
      <c r="C663" s="2" t="s">
        <v>168</v>
      </c>
      <c r="D663" s="2" t="s">
        <v>169</v>
      </c>
      <c r="E663" s="4">
        <v>45244</v>
      </c>
    </row>
    <row r="664" spans="1:5" x14ac:dyDescent="0.25">
      <c r="A664" s="1" t="s">
        <v>628</v>
      </c>
      <c r="B664">
        <v>11619695</v>
      </c>
      <c r="C664" s="2" t="s">
        <v>168</v>
      </c>
      <c r="D664" s="2" t="s">
        <v>169</v>
      </c>
      <c r="E664" s="4">
        <v>45246</v>
      </c>
    </row>
    <row r="665" spans="1:5" x14ac:dyDescent="0.25">
      <c r="A665" s="1" t="str">
        <f>"INSPIRED BUILD SERVICES LIMITED"</f>
        <v>INSPIRED BUILD SERVICES LIMITED</v>
      </c>
      <c r="B665" t="str">
        <f>"12626745"</f>
        <v>12626745</v>
      </c>
      <c r="C665" s="2" t="s">
        <v>168</v>
      </c>
      <c r="D665" s="2" t="s">
        <v>169</v>
      </c>
      <c r="E665" s="4">
        <v>45254</v>
      </c>
    </row>
    <row r="666" spans="1:5" x14ac:dyDescent="0.25">
      <c r="A666" s="1" t="s">
        <v>411</v>
      </c>
      <c r="B666">
        <v>1665303</v>
      </c>
      <c r="C666" s="2" t="s">
        <v>68</v>
      </c>
      <c r="D666" s="2" t="s">
        <v>69</v>
      </c>
      <c r="E666" s="4">
        <v>45226</v>
      </c>
    </row>
    <row r="667" spans="1:5" x14ac:dyDescent="0.25">
      <c r="A667" s="1" t="str">
        <f>"CENTRAL ELECTRICAL CONTRACTING LIMITED"</f>
        <v>CENTRAL ELECTRICAL CONTRACTING LIMITED</v>
      </c>
      <c r="B667" t="str">
        <f>"11683712"</f>
        <v>11683712</v>
      </c>
      <c r="C667" s="2" t="s">
        <v>68</v>
      </c>
      <c r="D667" s="2" t="s">
        <v>69</v>
      </c>
      <c r="E667" s="4">
        <v>45243</v>
      </c>
    </row>
    <row r="668" spans="1:5" x14ac:dyDescent="0.25">
      <c r="A668" s="1" t="s">
        <v>529</v>
      </c>
      <c r="B668">
        <v>9982425</v>
      </c>
      <c r="C668" s="2" t="s">
        <v>68</v>
      </c>
      <c r="D668" s="2" t="s">
        <v>259</v>
      </c>
      <c r="E668" s="4">
        <v>45231</v>
      </c>
    </row>
    <row r="669" spans="1:5" x14ac:dyDescent="0.25">
      <c r="A669" s="1" t="str">
        <f>"CASACUCINA DESIGN LIMITED"</f>
        <v>CASACUCINA DESIGN LIMITED</v>
      </c>
      <c r="B669" t="str">
        <f>"08170457"</f>
        <v>08170457</v>
      </c>
      <c r="C669" s="2" t="s">
        <v>68</v>
      </c>
      <c r="D669" s="2" t="s">
        <v>259</v>
      </c>
      <c r="E669" s="4">
        <v>45243</v>
      </c>
    </row>
    <row r="670" spans="1:5" x14ac:dyDescent="0.25">
      <c r="A670" s="1" t="str">
        <f>"YELLOW IRIS LIMITED"</f>
        <v>YELLOW IRIS LIMITED</v>
      </c>
      <c r="B670" t="str">
        <f>"05866118"</f>
        <v>05866118</v>
      </c>
      <c r="C670" s="2" t="s">
        <v>68</v>
      </c>
      <c r="D670" s="2" t="s">
        <v>259</v>
      </c>
      <c r="E670" s="4">
        <v>45244</v>
      </c>
    </row>
    <row r="671" spans="1:5" x14ac:dyDescent="0.25">
      <c r="A671" s="1" t="str">
        <f>"TWO TONE STORAGE LIMITED"</f>
        <v>TWO TONE STORAGE LIMITED</v>
      </c>
      <c r="B671" t="str">
        <f>"12840722"</f>
        <v>12840722</v>
      </c>
      <c r="C671" s="2" t="s">
        <v>68</v>
      </c>
      <c r="D671" s="2" t="s">
        <v>259</v>
      </c>
      <c r="E671" s="4">
        <v>45257</v>
      </c>
    </row>
    <row r="672" spans="1:5" x14ac:dyDescent="0.25">
      <c r="A672" s="1" t="str">
        <f>"15TEN15 GROUP LTD"</f>
        <v>15TEN15 GROUP LTD</v>
      </c>
      <c r="B672" t="str">
        <f>"07068372"</f>
        <v>07068372</v>
      </c>
      <c r="C672" s="2" t="s">
        <v>339</v>
      </c>
      <c r="D672" s="2" t="s">
        <v>34</v>
      </c>
      <c r="E672" s="4">
        <v>45253</v>
      </c>
    </row>
    <row r="673" spans="1:5" x14ac:dyDescent="0.25">
      <c r="A673" s="1" t="str">
        <f>"CENTURY OFFICE EQUIPMENT (ESSEX) LIMITED"</f>
        <v>CENTURY OFFICE EQUIPMENT (ESSEX) LIMITED</v>
      </c>
      <c r="B673" t="str">
        <f>"01322639"</f>
        <v>01322639</v>
      </c>
      <c r="C673" s="2" t="s">
        <v>245</v>
      </c>
      <c r="D673" s="2" t="s">
        <v>7</v>
      </c>
      <c r="E673" s="4">
        <v>45231</v>
      </c>
    </row>
    <row r="674" spans="1:5" x14ac:dyDescent="0.25">
      <c r="A674" s="1" t="str">
        <f>"MARK WARDLE ELECTRICAL SERVICES LIMITED"</f>
        <v>MARK WARDLE ELECTRICAL SERVICES LIMITED</v>
      </c>
      <c r="B674" t="str">
        <f>"05882592"</f>
        <v>05882592</v>
      </c>
      <c r="C674" s="2" t="s">
        <v>245</v>
      </c>
      <c r="D674" s="2" t="s">
        <v>7</v>
      </c>
      <c r="E674" s="4">
        <v>45237</v>
      </c>
    </row>
    <row r="675" spans="1:5" x14ac:dyDescent="0.25">
      <c r="A675" s="1" t="str">
        <f>"IMAGERY DIRECT IMAGING LIMITED"</f>
        <v>IMAGERY DIRECT IMAGING LIMITED</v>
      </c>
      <c r="B675" t="str">
        <f>"03864414"</f>
        <v>03864414</v>
      </c>
      <c r="C675" s="2" t="s">
        <v>245</v>
      </c>
      <c r="D675" s="2" t="s">
        <v>7</v>
      </c>
      <c r="E675" s="4">
        <v>45237</v>
      </c>
    </row>
    <row r="676" spans="1:5" x14ac:dyDescent="0.25">
      <c r="A676" s="1" t="str">
        <f>"PURVIN TRADING LIMITED"</f>
        <v>PURVIN TRADING LIMITED</v>
      </c>
      <c r="B676" t="str">
        <f>"10623493"</f>
        <v>10623493</v>
      </c>
      <c r="C676" s="2" t="s">
        <v>245</v>
      </c>
      <c r="D676" s="2" t="s">
        <v>7</v>
      </c>
      <c r="E676" s="4">
        <v>45238</v>
      </c>
    </row>
    <row r="677" spans="1:5" x14ac:dyDescent="0.25">
      <c r="A677" s="1" t="str">
        <f>"FARR ENGINEERING SERVICES LIMITED"</f>
        <v>FARR ENGINEERING SERVICES LIMITED</v>
      </c>
      <c r="B677" t="str">
        <f>"04122341"</f>
        <v>04122341</v>
      </c>
      <c r="C677" s="2" t="s">
        <v>245</v>
      </c>
      <c r="D677" s="2" t="s">
        <v>7</v>
      </c>
      <c r="E677" s="4">
        <v>45243</v>
      </c>
    </row>
    <row r="678" spans="1:5" x14ac:dyDescent="0.25">
      <c r="A678" s="1" t="str">
        <f>"FOSSEWAY ENGINEERING SERVICES LIMITED"</f>
        <v>FOSSEWAY ENGINEERING SERVICES LIMITED</v>
      </c>
      <c r="B678" t="str">
        <f>"06670322"</f>
        <v>06670322</v>
      </c>
      <c r="C678" s="2" t="s">
        <v>245</v>
      </c>
      <c r="D678" s="2" t="s">
        <v>7</v>
      </c>
      <c r="E678" s="4">
        <v>45247</v>
      </c>
    </row>
    <row r="679" spans="1:5" x14ac:dyDescent="0.25">
      <c r="A679" s="1" t="str">
        <f>"AWAY BIRMINGHAM LIMITED"</f>
        <v>AWAY BIRMINGHAM LIMITED</v>
      </c>
      <c r="B679" t="str">
        <f>"11035412"</f>
        <v>11035412</v>
      </c>
      <c r="C679" s="2" t="s">
        <v>245</v>
      </c>
      <c r="D679" s="2" t="s">
        <v>7</v>
      </c>
      <c r="E679" s="4">
        <v>45247</v>
      </c>
    </row>
    <row r="680" spans="1:5" x14ac:dyDescent="0.25">
      <c r="A680" s="1" t="str">
        <f>"CROWN EVENT MANAGEMENT LIMITED"</f>
        <v>CROWN EVENT MANAGEMENT LIMITED</v>
      </c>
      <c r="B680" t="str">
        <f>"07885628"</f>
        <v>07885628</v>
      </c>
      <c r="C680" s="2" t="s">
        <v>245</v>
      </c>
      <c r="D680" s="2" t="s">
        <v>7</v>
      </c>
      <c r="E680" s="4">
        <v>45251</v>
      </c>
    </row>
    <row r="681" spans="1:5" x14ac:dyDescent="0.25">
      <c r="A681" s="1" t="str">
        <f>"CROWN MUSIC SUPERVISION LIMITED"</f>
        <v>CROWN MUSIC SUPERVISION LIMITED</v>
      </c>
      <c r="B681" t="str">
        <f>"07928697"</f>
        <v>07928697</v>
      </c>
      <c r="C681" s="2" t="s">
        <v>245</v>
      </c>
      <c r="D681" s="2" t="s">
        <v>7</v>
      </c>
      <c r="E681" s="4">
        <v>45251</v>
      </c>
    </row>
    <row r="682" spans="1:5" x14ac:dyDescent="0.25">
      <c r="A682" s="1" t="str">
        <f>"CROWN SONGS LIMITED"</f>
        <v>CROWN SONGS LIMITED</v>
      </c>
      <c r="B682" t="str">
        <f>"08257786"</f>
        <v>08257786</v>
      </c>
      <c r="C682" s="2" t="s">
        <v>245</v>
      </c>
      <c r="D682" s="2" t="s">
        <v>7</v>
      </c>
      <c r="E682" s="4">
        <v>45251</v>
      </c>
    </row>
    <row r="683" spans="1:5" x14ac:dyDescent="0.25">
      <c r="A683" s="1" t="s">
        <v>520</v>
      </c>
      <c r="B683">
        <v>7401508</v>
      </c>
      <c r="C683" s="2" t="s">
        <v>305</v>
      </c>
      <c r="D683" s="2" t="s">
        <v>306</v>
      </c>
      <c r="E683" s="4">
        <v>45230</v>
      </c>
    </row>
    <row r="684" spans="1:5" x14ac:dyDescent="0.25">
      <c r="A684" s="1" t="str">
        <f>"STURMINSTER JOINERY LIMITED"</f>
        <v>STURMINSTER JOINERY LIMITED</v>
      </c>
      <c r="B684" t="str">
        <f>"10493072"</f>
        <v>10493072</v>
      </c>
      <c r="C684" s="2" t="s">
        <v>305</v>
      </c>
      <c r="D684" s="2" t="s">
        <v>306</v>
      </c>
      <c r="E684" s="4">
        <v>45231</v>
      </c>
    </row>
    <row r="685" spans="1:5" x14ac:dyDescent="0.25">
      <c r="A685" s="1" t="str">
        <f>"MEHDI INDIAN CAMBERLEY LIMITED"</f>
        <v>MEHDI INDIAN CAMBERLEY LIMITED</v>
      </c>
      <c r="B685" t="str">
        <f>"11521451"</f>
        <v>11521451</v>
      </c>
      <c r="C685" s="2" t="s">
        <v>284</v>
      </c>
      <c r="D685" s="2" t="s">
        <v>7</v>
      </c>
      <c r="E685" s="4">
        <v>45238</v>
      </c>
    </row>
    <row r="686" spans="1:5" x14ac:dyDescent="0.25">
      <c r="A686" s="1" t="str">
        <f>"GELATO HEAVEN LIMITED"</f>
        <v>GELATO HEAVEN LIMITED</v>
      </c>
      <c r="B686" t="str">
        <f>"10994986"</f>
        <v>10994986</v>
      </c>
      <c r="C686" s="2" t="s">
        <v>284</v>
      </c>
      <c r="D686" s="2" t="s">
        <v>7</v>
      </c>
      <c r="E686" s="4">
        <v>45238</v>
      </c>
    </row>
    <row r="687" spans="1:5" x14ac:dyDescent="0.25">
      <c r="A687" s="1" t="str">
        <f>"FEAST BY ED SHAERF LTD"</f>
        <v>FEAST BY ED SHAERF LTD</v>
      </c>
      <c r="B687" t="str">
        <f>"11300596"</f>
        <v>11300596</v>
      </c>
      <c r="C687" s="2" t="s">
        <v>284</v>
      </c>
      <c r="D687" s="2" t="s">
        <v>7</v>
      </c>
      <c r="E687" s="4">
        <v>45240</v>
      </c>
    </row>
    <row r="688" spans="1:5" x14ac:dyDescent="0.25">
      <c r="A688" s="1" t="str">
        <f>"PRINCIPAL PUB COMPANY LTD"</f>
        <v>PRINCIPAL PUB COMPANY LTD</v>
      </c>
      <c r="B688" t="str">
        <f>"08855601"</f>
        <v>08855601</v>
      </c>
      <c r="C688" s="2" t="s">
        <v>284</v>
      </c>
      <c r="D688" s="2" t="s">
        <v>7</v>
      </c>
      <c r="E688" s="4">
        <v>45247</v>
      </c>
    </row>
    <row r="689" spans="1:5" x14ac:dyDescent="0.25">
      <c r="A689" s="1" t="str">
        <f>"ANOTHER LEVEL LOFT SOLUTIONS LIMITED"</f>
        <v>ANOTHER LEVEL LOFT SOLUTIONS LIMITED</v>
      </c>
      <c r="B689" t="str">
        <f>"11817000"</f>
        <v>11817000</v>
      </c>
      <c r="C689" s="2" t="s">
        <v>284</v>
      </c>
      <c r="D689" s="2" t="s">
        <v>7</v>
      </c>
      <c r="E689" s="4">
        <v>45247</v>
      </c>
    </row>
    <row r="690" spans="1:5" x14ac:dyDescent="0.25">
      <c r="A690" s="1" t="str">
        <f>"MOONWISH LIMITED"</f>
        <v>MOONWISH LIMITED</v>
      </c>
      <c r="B690" t="str">
        <f>"06244354"</f>
        <v>06244354</v>
      </c>
      <c r="C690" s="2" t="s">
        <v>284</v>
      </c>
      <c r="D690" s="2" t="s">
        <v>7</v>
      </c>
      <c r="E690" s="4">
        <v>45251</v>
      </c>
    </row>
    <row r="691" spans="1:5" x14ac:dyDescent="0.25">
      <c r="A691" s="1" t="str">
        <f>"PROJECT BUILDERS (ESSEX) LIMITED"</f>
        <v>PROJECT BUILDERS (ESSEX) LIMITED</v>
      </c>
      <c r="B691" t="str">
        <f>"08459535"</f>
        <v>08459535</v>
      </c>
      <c r="C691" s="2" t="s">
        <v>284</v>
      </c>
      <c r="D691" s="2" t="s">
        <v>7</v>
      </c>
      <c r="E691" s="4">
        <v>45254</v>
      </c>
    </row>
    <row r="692" spans="1:5" x14ac:dyDescent="0.25">
      <c r="A692" s="1" t="str">
        <f>"BOUNCY MACS LTD"</f>
        <v>BOUNCY MACS LTD</v>
      </c>
      <c r="B692" t="str">
        <f>"09490982"</f>
        <v>09490982</v>
      </c>
      <c r="C692" s="2" t="s">
        <v>62</v>
      </c>
      <c r="D692" s="2" t="s">
        <v>63</v>
      </c>
      <c r="E692" s="4">
        <v>45231</v>
      </c>
    </row>
    <row r="693" spans="1:5" x14ac:dyDescent="0.25">
      <c r="A693" s="1" t="str">
        <f>"ZIMMADAR LTD"</f>
        <v>ZIMMADAR LTD</v>
      </c>
      <c r="B693" t="str">
        <f>"11231940"</f>
        <v>11231940</v>
      </c>
      <c r="C693" s="2" t="s">
        <v>62</v>
      </c>
      <c r="D693" s="2" t="s">
        <v>63</v>
      </c>
      <c r="E693" s="4">
        <v>45231</v>
      </c>
    </row>
    <row r="694" spans="1:5" x14ac:dyDescent="0.25">
      <c r="A694" s="1" t="str">
        <f>"THE CLARENDON KITCHEN COMPANY LIMITED"</f>
        <v>THE CLARENDON KITCHEN COMPANY LIMITED</v>
      </c>
      <c r="B694" t="str">
        <f>"05733317"</f>
        <v>05733317</v>
      </c>
      <c r="C694" s="2" t="s">
        <v>62</v>
      </c>
      <c r="D694" s="2" t="s">
        <v>63</v>
      </c>
      <c r="E694" s="4">
        <v>45231</v>
      </c>
    </row>
    <row r="695" spans="1:5" x14ac:dyDescent="0.25">
      <c r="A695" s="1" t="str">
        <f>"HOPKINS FENCING LTD"</f>
        <v>HOPKINS FENCING LTD</v>
      </c>
      <c r="B695" t="str">
        <f>"09037761"</f>
        <v>09037761</v>
      </c>
      <c r="C695" s="2" t="s">
        <v>62</v>
      </c>
      <c r="D695" s="2" t="s">
        <v>63</v>
      </c>
      <c r="E695" s="4">
        <v>45239</v>
      </c>
    </row>
    <row r="696" spans="1:5" x14ac:dyDescent="0.25">
      <c r="A696" s="1" t="str">
        <f>"S.P. HOME IMPROVEMENTS LIMITED"</f>
        <v>S.P. HOME IMPROVEMENTS LIMITED</v>
      </c>
      <c r="B696" t="str">
        <f>"06216844"</f>
        <v>06216844</v>
      </c>
      <c r="C696" s="2" t="s">
        <v>62</v>
      </c>
      <c r="D696" s="2" t="s">
        <v>63</v>
      </c>
      <c r="E696" s="4">
        <v>45245</v>
      </c>
    </row>
    <row r="697" spans="1:5" x14ac:dyDescent="0.25">
      <c r="A697" s="1" t="str">
        <f>"SHOWCASE KITCHENS LTD"</f>
        <v>SHOWCASE KITCHENS LTD</v>
      </c>
      <c r="B697" t="str">
        <f>"06788209"</f>
        <v>06788209</v>
      </c>
      <c r="C697" s="2" t="s">
        <v>62</v>
      </c>
      <c r="D697" s="2" t="s">
        <v>63</v>
      </c>
      <c r="E697" s="4">
        <v>45245</v>
      </c>
    </row>
    <row r="698" spans="1:5" x14ac:dyDescent="0.25">
      <c r="A698" s="1" t="s">
        <v>412</v>
      </c>
      <c r="B698">
        <v>11242982</v>
      </c>
      <c r="C698" s="2" t="s">
        <v>369</v>
      </c>
      <c r="D698" s="2" t="s">
        <v>147</v>
      </c>
      <c r="E698" s="4">
        <v>45230</v>
      </c>
    </row>
    <row r="699" spans="1:5" x14ac:dyDescent="0.25">
      <c r="A699" s="1" t="s">
        <v>422</v>
      </c>
      <c r="B699">
        <v>11974736</v>
      </c>
      <c r="C699" s="2" t="s">
        <v>55</v>
      </c>
      <c r="D699" s="2" t="s">
        <v>56</v>
      </c>
      <c r="E699" s="4">
        <v>45229</v>
      </c>
    </row>
    <row r="700" spans="1:5" x14ac:dyDescent="0.25">
      <c r="A700" s="1" t="s">
        <v>771</v>
      </c>
      <c r="B700">
        <v>10007263</v>
      </c>
      <c r="C700" s="2" t="s">
        <v>55</v>
      </c>
      <c r="D700" s="2" t="s">
        <v>56</v>
      </c>
      <c r="E700" s="4">
        <v>45250</v>
      </c>
    </row>
    <row r="701" spans="1:5" x14ac:dyDescent="0.25">
      <c r="A701" s="1" t="s">
        <v>730</v>
      </c>
      <c r="B701">
        <v>10499123</v>
      </c>
      <c r="C701" s="2" t="s">
        <v>55</v>
      </c>
      <c r="D701" s="2" t="s">
        <v>56</v>
      </c>
      <c r="E701" s="4">
        <v>45251</v>
      </c>
    </row>
    <row r="702" spans="1:5" x14ac:dyDescent="0.25">
      <c r="A702" s="1" t="str">
        <f>"FLAMES BURNLEY LIMITED"</f>
        <v>FLAMES BURNLEY LIMITED</v>
      </c>
      <c r="B702" t="str">
        <f>"13585369"</f>
        <v>13585369</v>
      </c>
      <c r="C702" s="2" t="s">
        <v>55</v>
      </c>
      <c r="D702" s="2" t="s">
        <v>56</v>
      </c>
      <c r="E702" s="4">
        <v>45253</v>
      </c>
    </row>
    <row r="703" spans="1:5" x14ac:dyDescent="0.25">
      <c r="A703" s="1" t="s">
        <v>547</v>
      </c>
      <c r="B703">
        <v>8713602</v>
      </c>
      <c r="C703" s="2" t="s">
        <v>170</v>
      </c>
      <c r="D703" s="2" t="s">
        <v>171</v>
      </c>
      <c r="E703" s="4">
        <v>45230</v>
      </c>
    </row>
    <row r="704" spans="1:5" x14ac:dyDescent="0.25">
      <c r="A704" s="1" t="str">
        <f>"MONEY BAGS LTD"</f>
        <v>MONEY BAGS LTD</v>
      </c>
      <c r="B704" t="str">
        <f>"07684834"</f>
        <v>07684834</v>
      </c>
      <c r="C704" s="2" t="s">
        <v>170</v>
      </c>
      <c r="D704" s="2" t="s">
        <v>171</v>
      </c>
      <c r="E704" s="4">
        <v>45246</v>
      </c>
    </row>
    <row r="705" spans="1:5" x14ac:dyDescent="0.25">
      <c r="A705" s="1" t="s">
        <v>475</v>
      </c>
      <c r="B705">
        <v>12397301</v>
      </c>
      <c r="C705" s="2" t="s">
        <v>50</v>
      </c>
      <c r="D705" s="2" t="s">
        <v>26</v>
      </c>
      <c r="E705" s="4">
        <v>45230</v>
      </c>
    </row>
    <row r="706" spans="1:5" x14ac:dyDescent="0.25">
      <c r="A706" s="1" t="str">
        <f>"JM SPICE HYDE LIMITED"</f>
        <v>JM SPICE HYDE LIMITED</v>
      </c>
      <c r="B706" t="str">
        <f>"14324691"</f>
        <v>14324691</v>
      </c>
      <c r="C706" s="2" t="s">
        <v>50</v>
      </c>
      <c r="D706" s="2" t="s">
        <v>26</v>
      </c>
      <c r="E706" s="4">
        <v>45232</v>
      </c>
    </row>
    <row r="707" spans="1:5" x14ac:dyDescent="0.25">
      <c r="A707" s="1" t="str">
        <f>"HIMALAYAN RESTAURANT BRECON LIMITED"</f>
        <v>HIMALAYAN RESTAURANT BRECON LIMITED</v>
      </c>
      <c r="B707" t="str">
        <f>"10746692"</f>
        <v>10746692</v>
      </c>
      <c r="C707" s="2" t="s">
        <v>50</v>
      </c>
      <c r="D707" s="2" t="s">
        <v>26</v>
      </c>
      <c r="E707" s="4">
        <v>45236</v>
      </c>
    </row>
    <row r="708" spans="1:5" x14ac:dyDescent="0.25">
      <c r="A708" s="1" t="str">
        <f>"S4 INNOVATION LTD."</f>
        <v>S4 INNOVATION LTD.</v>
      </c>
      <c r="B708" t="str">
        <f>"08827169"</f>
        <v>08827169</v>
      </c>
      <c r="C708" s="2" t="s">
        <v>50</v>
      </c>
      <c r="D708" s="2" t="s">
        <v>26</v>
      </c>
      <c r="E708" s="4">
        <v>45236</v>
      </c>
    </row>
    <row r="709" spans="1:5" x14ac:dyDescent="0.25">
      <c r="A709" s="1" t="str">
        <f>"SOUTH MORETON FITNESS CLUB LIMITED"</f>
        <v>SOUTH MORETON FITNESS CLUB LIMITED</v>
      </c>
      <c r="B709" t="str">
        <f>"07486968"</f>
        <v>07486968</v>
      </c>
      <c r="C709" s="2" t="s">
        <v>50</v>
      </c>
      <c r="D709" s="2" t="s">
        <v>26</v>
      </c>
      <c r="E709" s="4">
        <v>45237</v>
      </c>
    </row>
    <row r="710" spans="1:5" x14ac:dyDescent="0.25">
      <c r="A710" s="1" t="str">
        <f>"CHAPMAN ADVISORY LIMITED"</f>
        <v>CHAPMAN ADVISORY LIMITED</v>
      </c>
      <c r="B710" t="str">
        <f>"08251050"</f>
        <v>08251050</v>
      </c>
      <c r="C710" s="2" t="s">
        <v>50</v>
      </c>
      <c r="D710" s="2" t="s">
        <v>26</v>
      </c>
      <c r="E710" s="4">
        <v>45237</v>
      </c>
    </row>
    <row r="711" spans="1:5" x14ac:dyDescent="0.25">
      <c r="A711" s="1" t="str">
        <f>"CUTTING EDGE (NOTTINGHAM) LIMITED"</f>
        <v>CUTTING EDGE (NOTTINGHAM) LIMITED</v>
      </c>
      <c r="B711" t="str">
        <f>"04595702"</f>
        <v>04595702</v>
      </c>
      <c r="C711" s="2" t="s">
        <v>50</v>
      </c>
      <c r="D711" s="2" t="s">
        <v>26</v>
      </c>
      <c r="E711" s="4">
        <v>45238</v>
      </c>
    </row>
    <row r="712" spans="1:5" x14ac:dyDescent="0.25">
      <c r="A712" s="1" t="str">
        <f>"TRANSPORTED4U LTD"</f>
        <v>TRANSPORTED4U LTD</v>
      </c>
      <c r="B712" t="str">
        <f>"13980648"</f>
        <v>13980648</v>
      </c>
      <c r="C712" s="2" t="s">
        <v>50</v>
      </c>
      <c r="D712" s="2" t="s">
        <v>26</v>
      </c>
      <c r="E712" s="4">
        <v>45239</v>
      </c>
    </row>
    <row r="713" spans="1:5" x14ac:dyDescent="0.25">
      <c r="A713" s="1" t="str">
        <f>"CHI YA SERVICES LTD"</f>
        <v>CHI YA SERVICES LTD</v>
      </c>
      <c r="B713" t="str">
        <f>"11525788"</f>
        <v>11525788</v>
      </c>
      <c r="C713" s="2" t="s">
        <v>50</v>
      </c>
      <c r="D713" s="2" t="s">
        <v>26</v>
      </c>
      <c r="E713" s="4">
        <v>45244</v>
      </c>
    </row>
    <row r="714" spans="1:5" x14ac:dyDescent="0.25">
      <c r="A714" s="1" t="str">
        <f>"CUSTOM TEAMWEAR LIMITED"</f>
        <v>CUSTOM TEAMWEAR LIMITED</v>
      </c>
      <c r="B714" t="str">
        <f>"10706639"</f>
        <v>10706639</v>
      </c>
      <c r="C714" s="2" t="s">
        <v>50</v>
      </c>
      <c r="D714" s="2" t="s">
        <v>26</v>
      </c>
      <c r="E714" s="4">
        <v>45245</v>
      </c>
    </row>
    <row r="715" spans="1:5" x14ac:dyDescent="0.25">
      <c r="A715" s="1" t="str">
        <f>"MCGUIGAN ABATTOIR SERVICES LIMITED"</f>
        <v>MCGUIGAN ABATTOIR SERVICES LIMITED</v>
      </c>
      <c r="B715" t="str">
        <f>"10800892"</f>
        <v>10800892</v>
      </c>
      <c r="C715" s="2" t="s">
        <v>50</v>
      </c>
      <c r="D715" s="2" t="s">
        <v>26</v>
      </c>
      <c r="E715" s="4">
        <v>45246</v>
      </c>
    </row>
    <row r="716" spans="1:5" x14ac:dyDescent="0.25">
      <c r="A716" s="1" t="str">
        <f>"PEARCE BENTLEY SECURITY LIMITED"</f>
        <v>PEARCE BENTLEY SECURITY LIMITED</v>
      </c>
      <c r="B716" t="str">
        <f>"10010246"</f>
        <v>10010246</v>
      </c>
      <c r="C716" s="2" t="s">
        <v>50</v>
      </c>
      <c r="D716" s="2" t="s">
        <v>26</v>
      </c>
      <c r="E716" s="4">
        <v>45252</v>
      </c>
    </row>
    <row r="717" spans="1:5" x14ac:dyDescent="0.25">
      <c r="A717" s="1" t="str">
        <f>"PK'S KIDS ZONE LIMITED"</f>
        <v>PK'S KIDS ZONE LIMITED</v>
      </c>
      <c r="B717" t="str">
        <f>"09419386"</f>
        <v>09419386</v>
      </c>
      <c r="C717" s="2" t="s">
        <v>50</v>
      </c>
      <c r="D717" s="2" t="s">
        <v>26</v>
      </c>
      <c r="E717" s="4">
        <v>45257</v>
      </c>
    </row>
    <row r="718" spans="1:5" x14ac:dyDescent="0.25">
      <c r="A718" s="1" t="s">
        <v>380</v>
      </c>
      <c r="B718">
        <v>9215049</v>
      </c>
      <c r="C718" s="2" t="s">
        <v>331</v>
      </c>
      <c r="D718" s="2" t="s">
        <v>69</v>
      </c>
      <c r="E718" s="4">
        <v>45224</v>
      </c>
    </row>
    <row r="719" spans="1:5" x14ac:dyDescent="0.25">
      <c r="A719" s="1" t="str">
        <f>"CLANCY FINANCIAL LIMITED"</f>
        <v>CLANCY FINANCIAL LIMITED</v>
      </c>
      <c r="B719" t="str">
        <f>"10174332"</f>
        <v>10174332</v>
      </c>
      <c r="C719" s="2" t="s">
        <v>331</v>
      </c>
      <c r="D719" s="2" t="s">
        <v>69</v>
      </c>
      <c r="E719" s="4">
        <v>45238</v>
      </c>
    </row>
    <row r="720" spans="1:5" x14ac:dyDescent="0.25">
      <c r="A720" s="1" t="s">
        <v>433</v>
      </c>
      <c r="B720">
        <v>11491147</v>
      </c>
      <c r="C720" s="2" t="s">
        <v>23</v>
      </c>
      <c r="D720" s="2" t="s">
        <v>129</v>
      </c>
      <c r="E720" s="4">
        <v>45202</v>
      </c>
    </row>
    <row r="721" spans="1:40" x14ac:dyDescent="0.25">
      <c r="A721" s="1" t="str">
        <f>"MANGIA BENE LIMITED"</f>
        <v>MANGIA BENE LIMITED</v>
      </c>
      <c r="B721" t="str">
        <f>"09178907"</f>
        <v>09178907</v>
      </c>
      <c r="C721" s="2" t="s">
        <v>23</v>
      </c>
      <c r="D721" s="2" t="s">
        <v>129</v>
      </c>
      <c r="E721" s="4">
        <v>45229</v>
      </c>
    </row>
    <row r="722" spans="1:40" x14ac:dyDescent="0.25">
      <c r="A722" s="1" t="str">
        <f>"HAVERING BEAUTY ACADEMY LIMITED"</f>
        <v>HAVERING BEAUTY ACADEMY LIMITED</v>
      </c>
      <c r="B722" t="str">
        <f>"07100861"</f>
        <v>07100861</v>
      </c>
      <c r="C722" s="2" t="s">
        <v>23</v>
      </c>
      <c r="D722" s="2" t="s">
        <v>129</v>
      </c>
      <c r="E722" s="4">
        <v>45231</v>
      </c>
    </row>
    <row r="723" spans="1:40" x14ac:dyDescent="0.25">
      <c r="A723" s="1" t="str">
        <f>"HONEST TT LIMITED"</f>
        <v>HONEST TT LIMITED</v>
      </c>
      <c r="B723" t="str">
        <f>"10595616"</f>
        <v>10595616</v>
      </c>
      <c r="C723" s="2" t="s">
        <v>23</v>
      </c>
      <c r="D723" s="2" t="s">
        <v>129</v>
      </c>
      <c r="E723" s="4">
        <v>45232</v>
      </c>
    </row>
    <row r="724" spans="1:40" x14ac:dyDescent="0.25">
      <c r="A724" s="1" t="str">
        <f>"ACE LIGHTING LIMITED"</f>
        <v>ACE LIGHTING LIMITED</v>
      </c>
      <c r="B724" t="str">
        <f>"03793204"</f>
        <v>03793204</v>
      </c>
      <c r="C724" s="2" t="s">
        <v>23</v>
      </c>
      <c r="D724" s="2" t="s">
        <v>129</v>
      </c>
      <c r="E724" s="4">
        <v>45232</v>
      </c>
    </row>
    <row r="725" spans="1:40" x14ac:dyDescent="0.25">
      <c r="A725" s="1" t="str">
        <f>"AURORA EUROPE LIMITED"</f>
        <v>AURORA EUROPE LIMITED</v>
      </c>
      <c r="B725" t="str">
        <f>"05163904"</f>
        <v>05163904</v>
      </c>
      <c r="C725" s="2" t="s">
        <v>23</v>
      </c>
      <c r="D725" s="2" t="s">
        <v>129</v>
      </c>
      <c r="E725" s="4">
        <v>45232</v>
      </c>
    </row>
    <row r="726" spans="1:40" x14ac:dyDescent="0.25">
      <c r="A726" s="1" t="str">
        <f>"BLACKBLUE LIMITED"</f>
        <v>BLACKBLUE LIMITED</v>
      </c>
      <c r="B726" t="str">
        <f>"03768693"</f>
        <v>03768693</v>
      </c>
      <c r="C726" s="2" t="s">
        <v>23</v>
      </c>
      <c r="D726" s="2" t="s">
        <v>129</v>
      </c>
      <c r="E726" s="4">
        <v>45232</v>
      </c>
    </row>
    <row r="727" spans="1:40" x14ac:dyDescent="0.25">
      <c r="A727" s="1" t="str">
        <f>"PEGASUS LIGHTING LIMITED"</f>
        <v>PEGASUS LIGHTING LIMITED</v>
      </c>
      <c r="B727" t="str">
        <f>"03940891"</f>
        <v>03940891</v>
      </c>
      <c r="C727" s="2" t="s">
        <v>23</v>
      </c>
      <c r="D727" s="2" t="s">
        <v>129</v>
      </c>
      <c r="E727" s="4">
        <v>45232</v>
      </c>
    </row>
    <row r="728" spans="1:40" x14ac:dyDescent="0.25">
      <c r="A728" s="1" t="str">
        <f>"MICROLIGHTS GROUP LIMITED"</f>
        <v>MICROLIGHTS GROUP LIMITED</v>
      </c>
      <c r="B728" t="str">
        <f>"06996309"</f>
        <v>06996309</v>
      </c>
      <c r="C728" s="2" t="s">
        <v>23</v>
      </c>
      <c r="D728" s="2" t="s">
        <v>129</v>
      </c>
      <c r="E728" s="4">
        <v>45232</v>
      </c>
    </row>
    <row r="729" spans="1:40" x14ac:dyDescent="0.25">
      <c r="A729" s="1" t="str">
        <f>"ODYSSEY LIGHTING LIMITED"</f>
        <v>ODYSSEY LIGHTING LIMITED</v>
      </c>
      <c r="B729" t="str">
        <f>"03855091"</f>
        <v>03855091</v>
      </c>
      <c r="C729" s="2" t="s">
        <v>23</v>
      </c>
      <c r="D729" s="2" t="s">
        <v>129</v>
      </c>
      <c r="E729" s="4">
        <v>45232</v>
      </c>
    </row>
    <row r="730" spans="1:40" x14ac:dyDescent="0.25">
      <c r="A730" s="1" t="str">
        <f>"SMITH &amp; SAYER LTD"</f>
        <v>SMITH &amp; SAYER LTD</v>
      </c>
      <c r="B730" t="str">
        <f>"13573426"</f>
        <v>13573426</v>
      </c>
      <c r="C730" s="2" t="s">
        <v>23</v>
      </c>
      <c r="D730" s="2" t="s">
        <v>129</v>
      </c>
      <c r="E730" s="4">
        <v>45232</v>
      </c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</row>
    <row r="731" spans="1:40" x14ac:dyDescent="0.25">
      <c r="A731" s="1" t="str">
        <f>"ORIMIS LTD"</f>
        <v>ORIMIS LTD</v>
      </c>
      <c r="B731" t="str">
        <f>"10489452"</f>
        <v>10489452</v>
      </c>
      <c r="C731" s="2" t="s">
        <v>23</v>
      </c>
      <c r="D731" s="2" t="s">
        <v>129</v>
      </c>
      <c r="E731" s="4">
        <v>45236</v>
      </c>
    </row>
    <row r="732" spans="1:40" x14ac:dyDescent="0.25">
      <c r="A732" s="1" t="s">
        <v>741</v>
      </c>
      <c r="B732">
        <v>11080837</v>
      </c>
      <c r="C732" s="2" t="s">
        <v>23</v>
      </c>
      <c r="D732" s="2" t="s">
        <v>129</v>
      </c>
      <c r="E732" s="4">
        <v>45238</v>
      </c>
    </row>
    <row r="733" spans="1:40" x14ac:dyDescent="0.25">
      <c r="A733" s="1" t="str">
        <f>"GUARD BUSINESS SOLUTIONS LIMITED"</f>
        <v>GUARD BUSINESS SOLUTIONS LIMITED</v>
      </c>
      <c r="B733" t="str">
        <f>"07317133"</f>
        <v>07317133</v>
      </c>
      <c r="C733" s="2" t="s">
        <v>23</v>
      </c>
      <c r="D733" s="2" t="s">
        <v>129</v>
      </c>
      <c r="E733" s="4">
        <v>45239</v>
      </c>
    </row>
    <row r="734" spans="1:40" x14ac:dyDescent="0.25">
      <c r="A734" s="1" t="s">
        <v>718</v>
      </c>
      <c r="B734">
        <v>11690535</v>
      </c>
      <c r="C734" s="2" t="s">
        <v>23</v>
      </c>
      <c r="D734" s="2" t="s">
        <v>129</v>
      </c>
      <c r="E734" s="4">
        <v>45239</v>
      </c>
    </row>
    <row r="735" spans="1:40" x14ac:dyDescent="0.25">
      <c r="A735" s="1" t="str">
        <f>"MAXBEAM ESTATE LTD"</f>
        <v>MAXBEAM ESTATE LTD</v>
      </c>
      <c r="B735" t="str">
        <f>"11025056"</f>
        <v>11025056</v>
      </c>
      <c r="C735" s="2" t="s">
        <v>23</v>
      </c>
      <c r="D735" s="2" t="s">
        <v>129</v>
      </c>
      <c r="E735" s="4">
        <v>45240</v>
      </c>
    </row>
    <row r="736" spans="1:40" x14ac:dyDescent="0.25">
      <c r="A736" s="1" t="str">
        <f>"MORSON FILMS LTD"</f>
        <v>MORSON FILMS LTD</v>
      </c>
      <c r="B736" t="str">
        <f>"07206074"</f>
        <v>07206074</v>
      </c>
      <c r="C736" s="2" t="s">
        <v>23</v>
      </c>
      <c r="D736" s="2" t="s">
        <v>129</v>
      </c>
      <c r="E736" s="4">
        <v>45240</v>
      </c>
    </row>
    <row r="737" spans="1:40" x14ac:dyDescent="0.25">
      <c r="A737" s="1" t="str">
        <f>"VALLEY TOPCO LTD"</f>
        <v>VALLEY TOPCO LTD</v>
      </c>
      <c r="B737" t="str">
        <f>"09294380"</f>
        <v>09294380</v>
      </c>
      <c r="C737" s="2" t="s">
        <v>23</v>
      </c>
      <c r="D737" s="2" t="s">
        <v>129</v>
      </c>
      <c r="E737" s="4">
        <v>45243</v>
      </c>
    </row>
    <row r="738" spans="1:40" x14ac:dyDescent="0.25">
      <c r="A738" s="1" t="s">
        <v>676</v>
      </c>
      <c r="B738">
        <v>11570401</v>
      </c>
      <c r="C738" s="2" t="s">
        <v>23</v>
      </c>
      <c r="D738" s="2" t="s">
        <v>129</v>
      </c>
      <c r="E738" s="4">
        <v>45245</v>
      </c>
    </row>
    <row r="739" spans="1:40" x14ac:dyDescent="0.25">
      <c r="A739" s="1" t="s">
        <v>843</v>
      </c>
      <c r="B739">
        <v>6018407</v>
      </c>
      <c r="C739" s="2" t="s">
        <v>23</v>
      </c>
      <c r="D739" s="2" t="s">
        <v>129</v>
      </c>
      <c r="E739" s="4">
        <v>45251</v>
      </c>
    </row>
    <row r="740" spans="1:40" x14ac:dyDescent="0.25">
      <c r="A740" s="1" t="str">
        <f>"ROCKINS LONDON LTD"</f>
        <v>ROCKINS LONDON LTD</v>
      </c>
      <c r="B740" t="str">
        <f>"09174939"</f>
        <v>09174939</v>
      </c>
      <c r="C740" s="2" t="s">
        <v>23</v>
      </c>
      <c r="D740" s="2" t="s">
        <v>129</v>
      </c>
      <c r="E740" s="4">
        <v>45252</v>
      </c>
    </row>
    <row r="741" spans="1:40" x14ac:dyDescent="0.25">
      <c r="A741" s="1" t="str">
        <f>"K.A. MEOPHAM LTD"</f>
        <v>K.A. MEOPHAM LTD</v>
      </c>
      <c r="B741" t="str">
        <f>"12253507"</f>
        <v>12253507</v>
      </c>
      <c r="C741" s="2" t="s">
        <v>23</v>
      </c>
      <c r="D741" s="2" t="s">
        <v>129</v>
      </c>
      <c r="E741" s="4">
        <v>45253</v>
      </c>
    </row>
    <row r="742" spans="1:40" s="15" customFormat="1" x14ac:dyDescent="0.25">
      <c r="A742" s="1" t="str">
        <f>"ASKEW &amp; SON BUILDING CONTRACTORS LIMITED"</f>
        <v>ASKEW &amp; SON BUILDING CONTRACTORS LIMITED</v>
      </c>
      <c r="B742" t="str">
        <f>"03734211"</f>
        <v>03734211</v>
      </c>
      <c r="C742" s="2" t="s">
        <v>23</v>
      </c>
      <c r="D742" s="2" t="s">
        <v>120</v>
      </c>
      <c r="E742" s="4">
        <v>45238</v>
      </c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</row>
    <row r="743" spans="1:40" s="15" customFormat="1" x14ac:dyDescent="0.25">
      <c r="A743" s="1" t="str">
        <f>"CONFERENCE ASTUTE LIMITED"</f>
        <v>CONFERENCE ASTUTE LIMITED</v>
      </c>
      <c r="B743" t="str">
        <f>"08039699"</f>
        <v>08039699</v>
      </c>
      <c r="C743" s="2" t="s">
        <v>23</v>
      </c>
      <c r="D743" s="2" t="s">
        <v>37</v>
      </c>
      <c r="E743" s="4">
        <v>45239</v>
      </c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</row>
    <row r="744" spans="1:40" x14ac:dyDescent="0.25">
      <c r="A744" s="1" t="s">
        <v>440</v>
      </c>
      <c r="B744">
        <v>12355993</v>
      </c>
      <c r="C744" s="2" t="s">
        <v>23</v>
      </c>
      <c r="D744" s="2" t="s">
        <v>94</v>
      </c>
      <c r="E744" s="4">
        <v>45225</v>
      </c>
    </row>
    <row r="745" spans="1:40" x14ac:dyDescent="0.25">
      <c r="A745" s="1" t="str">
        <f>"ALLON-SNARY LTD"</f>
        <v>ALLON-SNARY LTD</v>
      </c>
      <c r="B745" t="str">
        <f>"10564984"</f>
        <v>10564984</v>
      </c>
      <c r="C745" s="2" t="s">
        <v>23</v>
      </c>
      <c r="D745" s="2" t="s">
        <v>94</v>
      </c>
      <c r="E745" s="4">
        <v>45230</v>
      </c>
    </row>
    <row r="746" spans="1:40" x14ac:dyDescent="0.25">
      <c r="A746" s="1" t="str">
        <f>"WJM QUIGLEY LIMITED"</f>
        <v>WJM QUIGLEY LIMITED</v>
      </c>
      <c r="B746" t="str">
        <f>"03063914"</f>
        <v>03063914</v>
      </c>
      <c r="C746" s="2" t="s">
        <v>23</v>
      </c>
      <c r="D746" s="2" t="s">
        <v>94</v>
      </c>
      <c r="E746" s="4">
        <v>45230</v>
      </c>
    </row>
    <row r="747" spans="1:40" x14ac:dyDescent="0.25">
      <c r="A747" s="1" t="str">
        <f>"LITTLE WINDOWS &amp; DOORS LTD"</f>
        <v>LITTLE WINDOWS &amp; DOORS LTD</v>
      </c>
      <c r="B747" t="str">
        <f>"08271241"</f>
        <v>08271241</v>
      </c>
      <c r="C747" s="2" t="s">
        <v>23</v>
      </c>
      <c r="D747" s="2" t="s">
        <v>94</v>
      </c>
      <c r="E747" s="4">
        <v>45250</v>
      </c>
    </row>
    <row r="748" spans="1:40" x14ac:dyDescent="0.25">
      <c r="A748" s="1" t="str">
        <f>"LITTLE'S COMPOSITE DOORS LTD"</f>
        <v>LITTLE'S COMPOSITE DOORS LTD</v>
      </c>
      <c r="B748" t="str">
        <f>"10252797"</f>
        <v>10252797</v>
      </c>
      <c r="C748" s="2" t="s">
        <v>23</v>
      </c>
      <c r="D748" s="2" t="s">
        <v>94</v>
      </c>
      <c r="E748" s="4">
        <v>45250</v>
      </c>
    </row>
    <row r="749" spans="1:40" x14ac:dyDescent="0.25">
      <c r="A749" s="1" t="str">
        <f>"NORTH LEISURE PRODUCTS LTD"</f>
        <v>NORTH LEISURE PRODUCTS LTD</v>
      </c>
      <c r="B749" t="str">
        <f>"06821514"</f>
        <v>06821514</v>
      </c>
      <c r="C749" s="2" t="s">
        <v>23</v>
      </c>
      <c r="D749" s="2" t="s">
        <v>94</v>
      </c>
      <c r="E749" s="4">
        <v>45252</v>
      </c>
    </row>
    <row r="750" spans="1:40" x14ac:dyDescent="0.25">
      <c r="A750" s="1" t="s">
        <v>438</v>
      </c>
      <c r="B750">
        <v>7774574</v>
      </c>
      <c r="C750" s="2" t="s">
        <v>23</v>
      </c>
      <c r="D750" s="2" t="s">
        <v>34</v>
      </c>
      <c r="E750" s="4">
        <v>45226</v>
      </c>
    </row>
    <row r="751" spans="1:40" x14ac:dyDescent="0.25">
      <c r="A751" s="1" t="str">
        <f>"OPUS VISION LTD."</f>
        <v>OPUS VISION LTD.</v>
      </c>
      <c r="B751" t="str">
        <f>"03905104"</f>
        <v>03905104</v>
      </c>
      <c r="C751" s="2" t="s">
        <v>23</v>
      </c>
      <c r="D751" s="2" t="s">
        <v>34</v>
      </c>
      <c r="E751" s="4">
        <v>45230</v>
      </c>
    </row>
    <row r="752" spans="1:40" x14ac:dyDescent="0.25">
      <c r="A752" s="1" t="str">
        <f>"THE CLADDING &amp; FRAMING COMPANY LIMITED"</f>
        <v>THE CLADDING &amp; FRAMING COMPANY LIMITED</v>
      </c>
      <c r="B752" t="str">
        <f>"05436101"</f>
        <v>05436101</v>
      </c>
      <c r="C752" s="2" t="s">
        <v>23</v>
      </c>
      <c r="D752" s="2" t="s">
        <v>34</v>
      </c>
      <c r="E752" s="4">
        <v>45237</v>
      </c>
    </row>
    <row r="753" spans="1:40" x14ac:dyDescent="0.25">
      <c r="A753" s="1" t="str">
        <f>"GEE GRAPHITE LIMITED"</f>
        <v>GEE GRAPHITE LIMITED</v>
      </c>
      <c r="B753" t="str">
        <f>"02306442"</f>
        <v>02306442</v>
      </c>
      <c r="C753" s="2" t="s">
        <v>23</v>
      </c>
      <c r="D753" s="2" t="s">
        <v>34</v>
      </c>
      <c r="E753" s="4">
        <v>45251</v>
      </c>
    </row>
    <row r="754" spans="1:40" x14ac:dyDescent="0.25">
      <c r="A754" s="1" t="s">
        <v>490</v>
      </c>
      <c r="B754">
        <v>4756856</v>
      </c>
      <c r="C754" s="2" t="s">
        <v>23</v>
      </c>
      <c r="D754" s="2" t="s">
        <v>71</v>
      </c>
      <c r="E754" s="4">
        <v>45225</v>
      </c>
    </row>
    <row r="755" spans="1:40" x14ac:dyDescent="0.25">
      <c r="A755" s="1" t="str">
        <f>"JPL UPHOLSTERY LTD"</f>
        <v>JPL UPHOLSTERY LTD</v>
      </c>
      <c r="B755" t="str">
        <f>"13520656"</f>
        <v>13520656</v>
      </c>
      <c r="C755" s="2" t="s">
        <v>23</v>
      </c>
      <c r="D755" s="2" t="s">
        <v>71</v>
      </c>
      <c r="E755" s="4">
        <v>45239</v>
      </c>
    </row>
    <row r="756" spans="1:40" x14ac:dyDescent="0.25">
      <c r="A756" s="1" t="s">
        <v>772</v>
      </c>
      <c r="B756" t="s">
        <v>773</v>
      </c>
      <c r="C756" s="2" t="s">
        <v>23</v>
      </c>
      <c r="D756" s="2" t="s">
        <v>71</v>
      </c>
      <c r="E756" s="4">
        <v>45247</v>
      </c>
    </row>
    <row r="757" spans="1:40" x14ac:dyDescent="0.25">
      <c r="A757" s="1" t="str">
        <f>"CRIMELINK LIMITED"</f>
        <v>CRIMELINK LIMITED</v>
      </c>
      <c r="B757" t="str">
        <f>"10482636"</f>
        <v>10482636</v>
      </c>
      <c r="C757" s="2" t="s">
        <v>23</v>
      </c>
      <c r="D757" s="2" t="s">
        <v>71</v>
      </c>
      <c r="E757" s="4">
        <v>45253</v>
      </c>
    </row>
    <row r="758" spans="1:40" x14ac:dyDescent="0.25">
      <c r="A758" s="1" t="str">
        <f>"BAIRD FOODS RETAIL LIMITED"</f>
        <v>BAIRD FOODS RETAIL LIMITED</v>
      </c>
      <c r="B758" t="str">
        <f>"13402661"</f>
        <v>13402661</v>
      </c>
      <c r="C758" s="2" t="s">
        <v>23</v>
      </c>
      <c r="D758" s="2" t="s">
        <v>71</v>
      </c>
      <c r="E758" s="4">
        <v>45253</v>
      </c>
    </row>
    <row r="759" spans="1:40" x14ac:dyDescent="0.25">
      <c r="A759" s="1" t="str">
        <f>"PICTURE HOME LOANS (NO.2) LIMITED"</f>
        <v>PICTURE HOME LOANS (NO.2) LIMITED</v>
      </c>
      <c r="B759" t="str">
        <f>"06617597"</f>
        <v>06617597</v>
      </c>
      <c r="C759" s="2" t="s">
        <v>23</v>
      </c>
      <c r="D759" s="2" t="s">
        <v>7</v>
      </c>
      <c r="E759" s="4">
        <v>45232</v>
      </c>
    </row>
    <row r="760" spans="1:40" x14ac:dyDescent="0.25">
      <c r="A760" s="1" t="str">
        <f>"PAACK LOGISTICS UK LIMITED"</f>
        <v>PAACK LOGISTICS UK LIMITED</v>
      </c>
      <c r="B760" t="str">
        <f>"11464884"</f>
        <v>11464884</v>
      </c>
      <c r="C760" s="2" t="s">
        <v>23</v>
      </c>
      <c r="D760" s="2" t="s">
        <v>7</v>
      </c>
      <c r="E760" s="4">
        <v>45233</v>
      </c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</row>
    <row r="761" spans="1:40" x14ac:dyDescent="0.25">
      <c r="A761" s="1" t="str">
        <f>"POWERLASE LIMITED"</f>
        <v>POWERLASE LIMITED</v>
      </c>
      <c r="B761" t="str">
        <f>"12289121"</f>
        <v>12289121</v>
      </c>
      <c r="C761" s="2" t="s">
        <v>23</v>
      </c>
      <c r="D761" s="2" t="s">
        <v>7</v>
      </c>
      <c r="E761" s="4">
        <v>45243</v>
      </c>
    </row>
    <row r="762" spans="1:40" x14ac:dyDescent="0.25">
      <c r="A762" s="1" t="str">
        <f>"SCIENCEMAGIC.INC LIMITED"</f>
        <v>SCIENCEMAGIC.INC LIMITED</v>
      </c>
      <c r="B762" t="str">
        <f>"04772357"</f>
        <v>04772357</v>
      </c>
      <c r="C762" s="2" t="s">
        <v>23</v>
      </c>
      <c r="D762" s="2" t="s">
        <v>7</v>
      </c>
      <c r="E762" s="4">
        <v>45252</v>
      </c>
    </row>
    <row r="763" spans="1:40" x14ac:dyDescent="0.25">
      <c r="A763" s="1" t="str">
        <f>"MONEYPLUS LEGAL LIMITED"</f>
        <v>MONEYPLUS LEGAL LIMITED</v>
      </c>
      <c r="B763" t="str">
        <f>"05659982"</f>
        <v>05659982</v>
      </c>
      <c r="C763" s="2" t="s">
        <v>23</v>
      </c>
      <c r="D763" s="2" t="s">
        <v>26</v>
      </c>
      <c r="E763" s="4">
        <v>45240</v>
      </c>
    </row>
    <row r="764" spans="1:40" x14ac:dyDescent="0.25">
      <c r="A764" s="1" t="str">
        <f>"QUALITY INSOLVENCY SERVICES LTD"</f>
        <v>QUALITY INSOLVENCY SERVICES LTD</v>
      </c>
      <c r="B764" t="str">
        <f>"09815663"</f>
        <v>09815663</v>
      </c>
      <c r="C764" s="2" t="s">
        <v>23</v>
      </c>
      <c r="D764" s="2" t="s">
        <v>26</v>
      </c>
      <c r="E764" s="4">
        <v>45247</v>
      </c>
    </row>
    <row r="765" spans="1:40" x14ac:dyDescent="0.25">
      <c r="A765" s="1" t="str">
        <f>"PALMERS PATISSERIE LIMITED"</f>
        <v>PALMERS PATISSERIE LIMITED</v>
      </c>
      <c r="B765" t="str">
        <f>"03751128"</f>
        <v>03751128</v>
      </c>
      <c r="C765" s="2" t="s">
        <v>23</v>
      </c>
      <c r="D765" s="2" t="s">
        <v>26</v>
      </c>
      <c r="E765" s="4">
        <v>45254</v>
      </c>
      <c r="X765" s="15"/>
      <c r="Y765" s="15"/>
      <c r="Z765" s="15"/>
      <c r="AA765" s="15"/>
      <c r="AB765" s="15"/>
      <c r="AC765" s="15"/>
    </row>
    <row r="766" spans="1:40" x14ac:dyDescent="0.25">
      <c r="A766" s="1" t="s">
        <v>484</v>
      </c>
      <c r="B766">
        <v>12289035</v>
      </c>
      <c r="C766" s="2" t="s">
        <v>23</v>
      </c>
      <c r="D766" s="2" t="s">
        <v>227</v>
      </c>
      <c r="E766" s="4">
        <v>45229</v>
      </c>
      <c r="X766" s="15"/>
      <c r="Y766" s="15"/>
      <c r="Z766" s="15"/>
      <c r="AA766" s="15"/>
      <c r="AB766" s="15"/>
      <c r="AC766" s="15"/>
    </row>
    <row r="767" spans="1:40" x14ac:dyDescent="0.25">
      <c r="A767" s="1" t="str">
        <f>"THE PROPERTY INVESTMENT PARTNERSHIP (THE PIP) LTD"</f>
        <v>THE PROPERTY INVESTMENT PARTNERSHIP (THE PIP) LTD</v>
      </c>
      <c r="B767" t="str">
        <f>"11646317"</f>
        <v>11646317</v>
      </c>
      <c r="C767" s="2" t="s">
        <v>23</v>
      </c>
      <c r="D767" s="2" t="s">
        <v>227</v>
      </c>
      <c r="E767" s="4">
        <v>45232</v>
      </c>
    </row>
    <row r="768" spans="1:40" x14ac:dyDescent="0.25">
      <c r="A768" s="1" t="str">
        <f>"SARV SK LTD"</f>
        <v>SARV SK LTD</v>
      </c>
      <c r="B768" t="str">
        <f>"07474541"</f>
        <v>07474541</v>
      </c>
      <c r="C768" s="2" t="s">
        <v>23</v>
      </c>
      <c r="D768" s="2" t="s">
        <v>98</v>
      </c>
      <c r="E768" s="4">
        <v>45233</v>
      </c>
    </row>
    <row r="769" spans="1:40" x14ac:dyDescent="0.25">
      <c r="A769" s="1" t="s">
        <v>701</v>
      </c>
      <c r="B769" t="s">
        <v>702</v>
      </c>
      <c r="C769" s="2" t="s">
        <v>23</v>
      </c>
      <c r="D769" s="2" t="s">
        <v>98</v>
      </c>
      <c r="E769" s="4">
        <v>45237</v>
      </c>
    </row>
    <row r="770" spans="1:40" x14ac:dyDescent="0.25">
      <c r="A770" s="1" t="str">
        <f>"CRESTWELL LTD"</f>
        <v>CRESTWELL LTD</v>
      </c>
      <c r="B770" t="str">
        <f>"10938180"</f>
        <v>10938180</v>
      </c>
      <c r="C770" s="2" t="s">
        <v>23</v>
      </c>
      <c r="D770" s="2" t="s">
        <v>98</v>
      </c>
      <c r="E770" s="4">
        <v>45239</v>
      </c>
    </row>
    <row r="771" spans="1:40" x14ac:dyDescent="0.25">
      <c r="A771" s="1" t="str">
        <f>"INSPIRE SCHOOLS EDUCATIONAL FOUNDATION"</f>
        <v>INSPIRE SCHOOLS EDUCATIONAL FOUNDATION</v>
      </c>
      <c r="B771" t="str">
        <f>"05144847"</f>
        <v>05144847</v>
      </c>
      <c r="C771" s="2" t="s">
        <v>23</v>
      </c>
      <c r="D771" s="2" t="s">
        <v>98</v>
      </c>
      <c r="E771" s="4">
        <v>45243</v>
      </c>
    </row>
    <row r="772" spans="1:40" x14ac:dyDescent="0.25">
      <c r="A772" s="1" t="str">
        <f>"OPULENT LIVING MANAGEMENT LTD."</f>
        <v>OPULENT LIVING MANAGEMENT LTD.</v>
      </c>
      <c r="B772" t="str">
        <f>"11845297"</f>
        <v>11845297</v>
      </c>
      <c r="C772" s="2" t="s">
        <v>23</v>
      </c>
      <c r="D772" s="2" t="s">
        <v>98</v>
      </c>
      <c r="E772" s="4">
        <v>45243</v>
      </c>
    </row>
    <row r="773" spans="1:40" x14ac:dyDescent="0.25">
      <c r="A773" s="1" t="str">
        <f>"FABRICATORSWORLD LIMITED"</f>
        <v>FABRICATORSWORLD LIMITED</v>
      </c>
      <c r="B773" t="str">
        <f>"10581600"</f>
        <v>10581600</v>
      </c>
      <c r="C773" s="2" t="s">
        <v>23</v>
      </c>
      <c r="D773" s="2" t="s">
        <v>98</v>
      </c>
      <c r="E773" s="4">
        <v>45244</v>
      </c>
    </row>
    <row r="774" spans="1:40" x14ac:dyDescent="0.25">
      <c r="A774" s="1" t="str">
        <f>"MODULAR SIPS LIMITED"</f>
        <v>MODULAR SIPS LIMITED</v>
      </c>
      <c r="B774" t="str">
        <f>"10337935"</f>
        <v>10337935</v>
      </c>
      <c r="C774" s="2" t="s">
        <v>23</v>
      </c>
      <c r="D774" s="2" t="s">
        <v>9</v>
      </c>
      <c r="E774" s="4">
        <v>45247</v>
      </c>
    </row>
    <row r="775" spans="1:40" x14ac:dyDescent="0.25">
      <c r="A775" s="1" t="str">
        <f>"MODULAR LEISURE BUILDINGS LTD"</f>
        <v>MODULAR LEISURE BUILDINGS LTD</v>
      </c>
      <c r="B775" t="str">
        <f>"11604150"</f>
        <v>11604150</v>
      </c>
      <c r="C775" s="2" t="s">
        <v>23</v>
      </c>
      <c r="D775" s="2" t="s">
        <v>9</v>
      </c>
      <c r="E775" s="4">
        <v>45247</v>
      </c>
    </row>
    <row r="776" spans="1:40" x14ac:dyDescent="0.25">
      <c r="A776" s="1" t="str">
        <f>"SIXTEEN GROUP LIMITED"</f>
        <v>SIXTEEN GROUP LIMITED</v>
      </c>
      <c r="B776" t="str">
        <f>"12473865"</f>
        <v>12473865</v>
      </c>
      <c r="C776" s="2" t="s">
        <v>23</v>
      </c>
      <c r="D776" s="2" t="s">
        <v>9</v>
      </c>
      <c r="E776" s="4">
        <v>45253</v>
      </c>
    </row>
    <row r="777" spans="1:40" x14ac:dyDescent="0.25">
      <c r="A777" s="1" t="str">
        <f>"ORCHID LODGES AND PARK HOMES LIMITED"</f>
        <v>ORCHID LODGES AND PARK HOMES LIMITED</v>
      </c>
      <c r="B777" t="str">
        <f>"14677449"</f>
        <v>14677449</v>
      </c>
      <c r="C777" s="2" t="s">
        <v>23</v>
      </c>
      <c r="D777" s="2" t="s">
        <v>9</v>
      </c>
      <c r="E777" s="4">
        <v>45253</v>
      </c>
    </row>
    <row r="778" spans="1:40" x14ac:dyDescent="0.25">
      <c r="A778" s="1" t="str">
        <f>"DESHI DELI LTD"</f>
        <v>DESHI DELI LTD</v>
      </c>
      <c r="B778" t="str">
        <f>"12224103"</f>
        <v>12224103</v>
      </c>
      <c r="C778" s="2" t="s">
        <v>23</v>
      </c>
      <c r="D778" s="2" t="s">
        <v>208</v>
      </c>
      <c r="E778" s="4">
        <v>45230</v>
      </c>
      <c r="X778" s="15"/>
      <c r="Y778" s="15"/>
      <c r="Z778" s="15"/>
      <c r="AA778" s="15"/>
      <c r="AB778" s="15"/>
      <c r="AC778" s="15"/>
    </row>
    <row r="779" spans="1:40" x14ac:dyDescent="0.25">
      <c r="A779" s="1" t="str">
        <f>"ATRIA CONCEPT UK LTD"</f>
        <v>ATRIA CONCEPT UK LTD</v>
      </c>
      <c r="B779" t="str">
        <f>"11693198"</f>
        <v>11693198</v>
      </c>
      <c r="C779" s="2" t="s">
        <v>23</v>
      </c>
      <c r="D779" s="2" t="s">
        <v>208</v>
      </c>
      <c r="E779" s="4">
        <v>45239</v>
      </c>
      <c r="X779" s="15"/>
      <c r="Y779" s="15"/>
      <c r="Z779" s="15"/>
      <c r="AA779" s="15"/>
      <c r="AB779" s="15"/>
      <c r="AC779" s="15"/>
    </row>
    <row r="780" spans="1:40" x14ac:dyDescent="0.25">
      <c r="A780" s="1" t="str">
        <f>"SHARK LOGISTICS GROUP LTD"</f>
        <v>SHARK LOGISTICS GROUP LTD</v>
      </c>
      <c r="B780" t="str">
        <f>"13329861"</f>
        <v>13329861</v>
      </c>
      <c r="C780" s="2" t="s">
        <v>23</v>
      </c>
      <c r="D780" s="2" t="s">
        <v>208</v>
      </c>
      <c r="E780" s="4">
        <v>45240</v>
      </c>
    </row>
    <row r="781" spans="1:40" s="15" customFormat="1" x14ac:dyDescent="0.25">
      <c r="A781" s="1" t="str">
        <f>"FAMOSS AUTOS LTD"</f>
        <v>FAMOSS AUTOS LTD</v>
      </c>
      <c r="B781" t="str">
        <f>"12190441"</f>
        <v>12190441</v>
      </c>
      <c r="C781" s="2" t="s">
        <v>23</v>
      </c>
      <c r="D781" s="2" t="s">
        <v>208</v>
      </c>
      <c r="E781" s="4">
        <v>45245</v>
      </c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</row>
    <row r="782" spans="1:40" s="15" customFormat="1" x14ac:dyDescent="0.25">
      <c r="A782" s="1" t="str">
        <f>"CHULETA LTD"</f>
        <v>CHULETA LTD</v>
      </c>
      <c r="B782" t="str">
        <f>"10921246"</f>
        <v>10921246</v>
      </c>
      <c r="C782" s="2" t="s">
        <v>23</v>
      </c>
      <c r="D782" s="2" t="s">
        <v>78</v>
      </c>
      <c r="E782" s="4">
        <v>45243</v>
      </c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</row>
    <row r="783" spans="1:40" x14ac:dyDescent="0.25">
      <c r="A783" s="1" t="s">
        <v>727</v>
      </c>
      <c r="B783">
        <v>11898072</v>
      </c>
      <c r="C783" s="2" t="s">
        <v>23</v>
      </c>
      <c r="D783" s="2" t="s">
        <v>78</v>
      </c>
      <c r="E783" s="4">
        <v>45246</v>
      </c>
    </row>
    <row r="784" spans="1:40" x14ac:dyDescent="0.25">
      <c r="A784" s="1" t="str">
        <f>"BULLDOG NETWORK (BOURNEMOUTH) LIMITED"</f>
        <v>BULLDOG NETWORK (BOURNEMOUTH) LIMITED</v>
      </c>
      <c r="B784" t="str">
        <f>"04667818"</f>
        <v>04667818</v>
      </c>
      <c r="C784" s="2" t="s">
        <v>23</v>
      </c>
      <c r="D784" s="2" t="s">
        <v>78</v>
      </c>
      <c r="E784" s="4">
        <v>45250</v>
      </c>
    </row>
    <row r="785" spans="1:40" x14ac:dyDescent="0.25">
      <c r="A785" s="1" t="str">
        <f>"M D FABRICATION (UK) LIMITED"</f>
        <v>M D FABRICATION (UK) LIMITED</v>
      </c>
      <c r="B785" t="str">
        <f>"05070305"</f>
        <v>05070305</v>
      </c>
      <c r="C785" s="2" t="s">
        <v>23</v>
      </c>
      <c r="D785" s="2" t="s">
        <v>78</v>
      </c>
      <c r="E785" s="4">
        <v>45253</v>
      </c>
    </row>
    <row r="786" spans="1:40" x14ac:dyDescent="0.25">
      <c r="A786" s="1" t="s">
        <v>554</v>
      </c>
      <c r="B786">
        <v>7610369</v>
      </c>
      <c r="C786" s="2" t="s">
        <v>23</v>
      </c>
      <c r="D786" s="2" t="s">
        <v>183</v>
      </c>
      <c r="E786" s="4">
        <v>45225</v>
      </c>
    </row>
    <row r="787" spans="1:40" x14ac:dyDescent="0.25">
      <c r="A787" s="1" t="s">
        <v>491</v>
      </c>
      <c r="B787">
        <v>6439004</v>
      </c>
      <c r="C787" s="2" t="s">
        <v>23</v>
      </c>
      <c r="D787" s="2" t="s">
        <v>183</v>
      </c>
      <c r="E787" s="4">
        <v>45226</v>
      </c>
    </row>
    <row r="788" spans="1:40" x14ac:dyDescent="0.25">
      <c r="A788" s="1" t="str">
        <f>"EXPANDLY LIMITED"</f>
        <v>EXPANDLY LIMITED</v>
      </c>
      <c r="B788" t="str">
        <f>"08535215"</f>
        <v>08535215</v>
      </c>
      <c r="C788" s="2" t="s">
        <v>23</v>
      </c>
      <c r="D788" s="2" t="s">
        <v>183</v>
      </c>
      <c r="E788" s="4">
        <v>45230</v>
      </c>
    </row>
    <row r="789" spans="1:40" x14ac:dyDescent="0.25">
      <c r="A789" s="1" t="str">
        <f>"U K M C PRO LIMITED"</f>
        <v>U K M C PRO LIMITED</v>
      </c>
      <c r="B789" t="str">
        <f>"02989598"</f>
        <v>02989598</v>
      </c>
      <c r="C789" s="2" t="s">
        <v>23</v>
      </c>
      <c r="D789" s="2" t="s">
        <v>183</v>
      </c>
      <c r="E789" s="4">
        <v>45233</v>
      </c>
    </row>
    <row r="790" spans="1:40" x14ac:dyDescent="0.25">
      <c r="A790" s="1" t="str">
        <f>"SEEWOO GROUP LIMITED"</f>
        <v>SEEWOO GROUP LIMITED</v>
      </c>
      <c r="B790" t="str">
        <f>"02303330"</f>
        <v>02303330</v>
      </c>
      <c r="C790" s="2" t="s">
        <v>23</v>
      </c>
      <c r="D790" s="2" t="s">
        <v>183</v>
      </c>
      <c r="E790" s="4">
        <v>45238</v>
      </c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</row>
    <row r="791" spans="1:40" x14ac:dyDescent="0.25">
      <c r="A791" s="1" t="s">
        <v>661</v>
      </c>
      <c r="B791">
        <v>10788623</v>
      </c>
      <c r="C791" s="2" t="s">
        <v>23</v>
      </c>
      <c r="D791" s="2" t="s">
        <v>183</v>
      </c>
      <c r="E791" s="4">
        <v>45246</v>
      </c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</row>
    <row r="792" spans="1:40" x14ac:dyDescent="0.25">
      <c r="A792" s="1" t="str">
        <f>"ECLECTIC BARS (MANCHESTER) LIMITED"</f>
        <v>ECLECTIC BARS (MANCHESTER) LIMITED</v>
      </c>
      <c r="B792" t="str">
        <f>"06437602"</f>
        <v>06437602</v>
      </c>
      <c r="C792" s="2" t="s">
        <v>23</v>
      </c>
      <c r="D792" s="2" t="s">
        <v>183</v>
      </c>
      <c r="E792" s="4">
        <v>45251</v>
      </c>
    </row>
    <row r="793" spans="1:40" x14ac:dyDescent="0.25">
      <c r="A793" s="1" t="str">
        <f>"ECLECTIC BARS LIMITED"</f>
        <v>ECLECTIC BARS LIMITED</v>
      </c>
      <c r="B793" t="str">
        <f>"05839448"</f>
        <v>05839448</v>
      </c>
      <c r="C793" s="2" t="s">
        <v>23</v>
      </c>
      <c r="D793" s="2" t="s">
        <v>183</v>
      </c>
      <c r="E793" s="4">
        <v>45251</v>
      </c>
    </row>
    <row r="794" spans="1:40" x14ac:dyDescent="0.25">
      <c r="A794" s="1" t="str">
        <f>"DAN JAMES CONSTRUCTION LTD"</f>
        <v>DAN JAMES CONSTRUCTION LTD</v>
      </c>
      <c r="B794" t="str">
        <f>"07730647"</f>
        <v>07730647</v>
      </c>
      <c r="C794" s="2" t="s">
        <v>23</v>
      </c>
      <c r="D794" s="2" t="s">
        <v>183</v>
      </c>
      <c r="E794" s="4">
        <v>45251</v>
      </c>
    </row>
    <row r="795" spans="1:40" x14ac:dyDescent="0.25">
      <c r="A795" s="1" t="str">
        <f>"NRG CYCLES LIMITED"</f>
        <v>NRG CYCLES LIMITED</v>
      </c>
      <c r="B795" t="str">
        <f>"07764732"</f>
        <v>07764732</v>
      </c>
      <c r="C795" s="2" t="s">
        <v>23</v>
      </c>
      <c r="D795" s="2" t="s">
        <v>28</v>
      </c>
      <c r="E795" s="4">
        <v>45223</v>
      </c>
    </row>
    <row r="796" spans="1:40" x14ac:dyDescent="0.25">
      <c r="A796" s="1" t="str">
        <f>"ELECTRICAL DEVELOPMENT UK LIMITED"</f>
        <v>ELECTRICAL DEVELOPMENT UK LIMITED</v>
      </c>
      <c r="B796" t="str">
        <f>"07515594"</f>
        <v>07515594</v>
      </c>
      <c r="C796" s="2" t="s">
        <v>23</v>
      </c>
      <c r="D796" s="2" t="s">
        <v>28</v>
      </c>
      <c r="E796" s="4">
        <v>45230</v>
      </c>
    </row>
    <row r="797" spans="1:40" x14ac:dyDescent="0.25">
      <c r="A797" s="1" t="str">
        <f>"BEDFORD STREET COFFEE LIMITED"</f>
        <v>BEDFORD STREET COFFEE LIMITED</v>
      </c>
      <c r="B797" t="str">
        <f>"09808186"</f>
        <v>09808186</v>
      </c>
      <c r="C797" s="2" t="s">
        <v>23</v>
      </c>
      <c r="D797" s="2" t="s">
        <v>28</v>
      </c>
      <c r="E797" s="4">
        <v>45251</v>
      </c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</row>
    <row r="798" spans="1:40" x14ac:dyDescent="0.25">
      <c r="A798" s="1" t="str">
        <f>"ASSURED BUSINESS SUPPORT LIMITED"</f>
        <v>ASSURED BUSINESS SUPPORT LIMITED</v>
      </c>
      <c r="B798" t="str">
        <f>"09323806"</f>
        <v>09323806</v>
      </c>
      <c r="C798" s="2" t="s">
        <v>115</v>
      </c>
      <c r="D798" s="2" t="s">
        <v>26</v>
      </c>
      <c r="E798" s="4">
        <v>45238</v>
      </c>
    </row>
    <row r="799" spans="1:40" x14ac:dyDescent="0.25">
      <c r="A799" s="1" t="str">
        <f>"MLC (NW) LIMITED"</f>
        <v>MLC (NW) LIMITED</v>
      </c>
      <c r="B799" t="str">
        <f>"11937241"</f>
        <v>11937241</v>
      </c>
      <c r="C799" s="2" t="s">
        <v>115</v>
      </c>
      <c r="D799" s="2" t="s">
        <v>26</v>
      </c>
      <c r="E799" s="4">
        <v>45250</v>
      </c>
    </row>
    <row r="800" spans="1:40" x14ac:dyDescent="0.25">
      <c r="A800" s="1" t="str">
        <f>"BUMS ON SEATS HOSPITALITY LTD"</f>
        <v>BUMS ON SEATS HOSPITALITY LTD</v>
      </c>
      <c r="B800" t="str">
        <f>"11659793"</f>
        <v>11659793</v>
      </c>
      <c r="C800" s="2" t="s">
        <v>115</v>
      </c>
      <c r="D800" s="2" t="s">
        <v>103</v>
      </c>
      <c r="E800" s="4">
        <v>45225</v>
      </c>
    </row>
    <row r="801" spans="1:40" x14ac:dyDescent="0.25">
      <c r="A801" s="1" t="str">
        <f>"A.C.FLOORING LTD."</f>
        <v>A.C.FLOORING LTD.</v>
      </c>
      <c r="B801" t="str">
        <f>"03084570"</f>
        <v>03084570</v>
      </c>
      <c r="C801" s="2" t="s">
        <v>115</v>
      </c>
      <c r="D801" s="2" t="s">
        <v>103</v>
      </c>
      <c r="E801" s="4">
        <v>45237</v>
      </c>
    </row>
    <row r="802" spans="1:40" x14ac:dyDescent="0.25">
      <c r="A802" s="1" t="str">
        <f>"TWIN CHERRY LIMITED"</f>
        <v>TWIN CHERRY LIMITED</v>
      </c>
      <c r="B802" t="str">
        <f>"10592377"</f>
        <v>10592377</v>
      </c>
      <c r="C802" s="2" t="s">
        <v>362</v>
      </c>
      <c r="D802" s="2" t="s">
        <v>158</v>
      </c>
      <c r="E802" s="4">
        <v>45250</v>
      </c>
    </row>
    <row r="803" spans="1:40" x14ac:dyDescent="0.25">
      <c r="A803" s="1" t="str">
        <f>"TREYMAINE LIMITED"</f>
        <v>TREYMAINE LIMITED</v>
      </c>
      <c r="B803" t="str">
        <f>"06891073"</f>
        <v>06891073</v>
      </c>
      <c r="C803" s="2" t="s">
        <v>80</v>
      </c>
      <c r="D803" s="2" t="s">
        <v>34</v>
      </c>
      <c r="E803" s="4">
        <v>45236</v>
      </c>
    </row>
    <row r="804" spans="1:40" s="15" customFormat="1" x14ac:dyDescent="0.25">
      <c r="A804" s="1" t="str">
        <f>"NO.2 THE GREEN LIMITED"</f>
        <v>NO.2 THE GREEN LIMITED</v>
      </c>
      <c r="B804" t="str">
        <f>"08741436"</f>
        <v>08741436</v>
      </c>
      <c r="C804" s="2" t="s">
        <v>80</v>
      </c>
      <c r="D804" s="2" t="s">
        <v>34</v>
      </c>
      <c r="E804" s="4">
        <v>45257</v>
      </c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</row>
    <row r="805" spans="1:40" s="15" customFormat="1" x14ac:dyDescent="0.25">
      <c r="A805" s="1" t="str">
        <f>"RT QUALITY &amp; REGULATORY CONSULTANTS LTD"</f>
        <v>RT QUALITY &amp; REGULATORY CONSULTANTS LTD</v>
      </c>
      <c r="B805" t="str">
        <f>"11185557"</f>
        <v>11185557</v>
      </c>
      <c r="C805" s="2" t="s">
        <v>157</v>
      </c>
      <c r="D805" s="2" t="s">
        <v>158</v>
      </c>
      <c r="E805" s="4">
        <v>45246</v>
      </c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</row>
    <row r="806" spans="1:40" x14ac:dyDescent="0.25">
      <c r="A806" s="1" t="s">
        <v>373</v>
      </c>
      <c r="B806">
        <v>9216433</v>
      </c>
      <c r="C806" s="2" t="s">
        <v>302</v>
      </c>
      <c r="D806" s="2" t="s">
        <v>303</v>
      </c>
      <c r="E806" s="4">
        <v>45229</v>
      </c>
    </row>
    <row r="807" spans="1:40" x14ac:dyDescent="0.25">
      <c r="A807" s="1" t="str">
        <f>"LE BOULANGERIE LTD"</f>
        <v>LE BOULANGERIE LTD</v>
      </c>
      <c r="B807" t="str">
        <f>"12056951"</f>
        <v>12056951</v>
      </c>
      <c r="C807" s="2" t="s">
        <v>302</v>
      </c>
      <c r="D807" s="2" t="s">
        <v>303</v>
      </c>
      <c r="E807" s="4">
        <v>45231</v>
      </c>
    </row>
    <row r="808" spans="1:40" x14ac:dyDescent="0.25">
      <c r="A808" s="1" t="str">
        <f>"NAZAR MK40 LIMITED"</f>
        <v>NAZAR MK40 LIMITED</v>
      </c>
      <c r="B808" t="str">
        <f>"11769103"</f>
        <v>11769103</v>
      </c>
      <c r="C808" s="2" t="s">
        <v>302</v>
      </c>
      <c r="D808" s="2" t="s">
        <v>303</v>
      </c>
      <c r="E808" s="4">
        <v>45236</v>
      </c>
    </row>
    <row r="809" spans="1:40" x14ac:dyDescent="0.25">
      <c r="A809" s="1" t="str">
        <f>"TEAMSTEAD LIMITED"</f>
        <v>TEAMSTEAD LIMITED</v>
      </c>
      <c r="B809" t="str">
        <f>"09745538"</f>
        <v>09745538</v>
      </c>
      <c r="C809" s="2" t="s">
        <v>302</v>
      </c>
      <c r="D809" s="2" t="s">
        <v>303</v>
      </c>
      <c r="E809" s="4">
        <v>45250</v>
      </c>
    </row>
    <row r="810" spans="1:40" x14ac:dyDescent="0.25">
      <c r="A810" s="1" t="s">
        <v>679</v>
      </c>
      <c r="B810">
        <v>12978079</v>
      </c>
      <c r="C810" s="2" t="s">
        <v>302</v>
      </c>
      <c r="D810" s="2" t="s">
        <v>303</v>
      </c>
      <c r="E810" s="4">
        <v>45251</v>
      </c>
    </row>
    <row r="811" spans="1:40" x14ac:dyDescent="0.25">
      <c r="A811" s="1" t="str">
        <f>"HARCUS SINCLAIR LLP"</f>
        <v>HARCUS SINCLAIR LLP</v>
      </c>
      <c r="B811" t="str">
        <f>"OC398640"</f>
        <v>OC398640</v>
      </c>
      <c r="C811" s="2" t="s">
        <v>359</v>
      </c>
      <c r="D811" s="2" t="s">
        <v>358</v>
      </c>
      <c r="E811" s="4">
        <v>45252</v>
      </c>
    </row>
    <row r="812" spans="1:40" x14ac:dyDescent="0.25">
      <c r="A812" s="1" t="s">
        <v>694</v>
      </c>
      <c r="B812">
        <v>10696281</v>
      </c>
      <c r="C812" s="2" t="s">
        <v>106</v>
      </c>
      <c r="D812" s="2" t="s">
        <v>58</v>
      </c>
      <c r="E812" s="4">
        <v>45205</v>
      </c>
    </row>
    <row r="813" spans="1:40" x14ac:dyDescent="0.25">
      <c r="A813" s="1" t="s">
        <v>483</v>
      </c>
      <c r="B813">
        <v>12395833</v>
      </c>
      <c r="C813" s="2" t="s">
        <v>106</v>
      </c>
      <c r="D813" s="2" t="s">
        <v>58</v>
      </c>
      <c r="E813" s="4">
        <v>45229</v>
      </c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</row>
    <row r="814" spans="1:40" x14ac:dyDescent="0.25">
      <c r="A814" s="1" t="str">
        <f>"THE DOG PENTRICH LTD"</f>
        <v>THE DOG PENTRICH LTD</v>
      </c>
      <c r="B814" t="str">
        <f>"10986091"</f>
        <v>10986091</v>
      </c>
      <c r="C814" s="2" t="s">
        <v>10</v>
      </c>
      <c r="D814" s="2" t="s">
        <v>11</v>
      </c>
      <c r="E814" s="4">
        <v>45000</v>
      </c>
    </row>
    <row r="815" spans="1:40" x14ac:dyDescent="0.25">
      <c r="A815" s="1" t="s">
        <v>393</v>
      </c>
      <c r="B815">
        <v>8715856</v>
      </c>
      <c r="C815" s="2" t="s">
        <v>10</v>
      </c>
      <c r="D815" s="2" t="s">
        <v>11</v>
      </c>
      <c r="E815" s="4">
        <v>45226</v>
      </c>
    </row>
    <row r="816" spans="1:40" x14ac:dyDescent="0.25">
      <c r="A816" s="1" t="s">
        <v>384</v>
      </c>
      <c r="B816">
        <v>9131321</v>
      </c>
      <c r="C816" s="2" t="s">
        <v>10</v>
      </c>
      <c r="D816" s="2" t="s">
        <v>11</v>
      </c>
      <c r="E816" s="4">
        <v>45229</v>
      </c>
    </row>
    <row r="817" spans="1:5" x14ac:dyDescent="0.25">
      <c r="A817" s="1" t="s">
        <v>528</v>
      </c>
      <c r="B817">
        <v>9998705</v>
      </c>
      <c r="C817" s="2" t="s">
        <v>10</v>
      </c>
      <c r="D817" s="2" t="s">
        <v>11</v>
      </c>
      <c r="E817" s="4">
        <v>45230</v>
      </c>
    </row>
    <row r="818" spans="1:5" x14ac:dyDescent="0.25">
      <c r="A818" s="1" t="s">
        <v>524</v>
      </c>
      <c r="B818">
        <v>10576987</v>
      </c>
      <c r="C818" s="2" t="s">
        <v>10</v>
      </c>
      <c r="D818" s="2" t="s">
        <v>11</v>
      </c>
      <c r="E818" s="4">
        <v>45230</v>
      </c>
    </row>
    <row r="819" spans="1:5" x14ac:dyDescent="0.25">
      <c r="A819" s="1" t="str">
        <f>"STEKKA KITCHEN LIMITED"</f>
        <v>STEKKA KITCHEN LIMITED</v>
      </c>
      <c r="B819" t="str">
        <f>"10731147"</f>
        <v>10731147</v>
      </c>
      <c r="C819" s="2" t="s">
        <v>10</v>
      </c>
      <c r="D819" s="2" t="s">
        <v>11</v>
      </c>
      <c r="E819" s="4">
        <v>45230</v>
      </c>
    </row>
    <row r="820" spans="1:5" x14ac:dyDescent="0.25">
      <c r="A820" s="1" t="str">
        <f>"KICK PROPERTY DEVELOPMENT LIMITED"</f>
        <v>KICK PROPERTY DEVELOPMENT LIMITED</v>
      </c>
      <c r="B820" t="str">
        <f>"11950379"</f>
        <v>11950379</v>
      </c>
      <c r="C820" s="2" t="s">
        <v>10</v>
      </c>
      <c r="D820" s="2" t="s">
        <v>11</v>
      </c>
      <c r="E820" s="4">
        <v>45230</v>
      </c>
    </row>
    <row r="821" spans="1:5" x14ac:dyDescent="0.25">
      <c r="A821" s="1" t="str">
        <f>"JFC TRANSPORT SOLUTIONS LTD"</f>
        <v>JFC TRANSPORT SOLUTIONS LTD</v>
      </c>
      <c r="B821" t="str">
        <f>"11267532"</f>
        <v>11267532</v>
      </c>
      <c r="C821" s="2" t="s">
        <v>10</v>
      </c>
      <c r="D821" s="2" t="s">
        <v>11</v>
      </c>
      <c r="E821" s="4">
        <v>45232</v>
      </c>
    </row>
    <row r="822" spans="1:5" x14ac:dyDescent="0.25">
      <c r="A822" s="1" t="str">
        <f>"IMONITOR LTD"</f>
        <v>IMONITOR LTD</v>
      </c>
      <c r="B822" t="str">
        <f>"11098889"</f>
        <v>11098889</v>
      </c>
      <c r="C822" s="2" t="s">
        <v>10</v>
      </c>
      <c r="D822" s="2" t="s">
        <v>11</v>
      </c>
      <c r="E822" s="4">
        <v>45236</v>
      </c>
    </row>
    <row r="823" spans="1:5" x14ac:dyDescent="0.25">
      <c r="A823" s="1" t="str">
        <f>"CHARLES BENJAMIN ASSOCIATES LIMITED"</f>
        <v>CHARLES BENJAMIN ASSOCIATES LIMITED</v>
      </c>
      <c r="B823" t="str">
        <f>"09550848"</f>
        <v>09550848</v>
      </c>
      <c r="C823" s="2" t="s">
        <v>10</v>
      </c>
      <c r="D823" s="2" t="s">
        <v>11</v>
      </c>
      <c r="E823" s="4">
        <v>45236</v>
      </c>
    </row>
    <row r="824" spans="1:5" x14ac:dyDescent="0.25">
      <c r="A824" s="1" t="str">
        <f>"SERVE HQ LTD"</f>
        <v>SERVE HQ LTD</v>
      </c>
      <c r="B824" t="str">
        <f>"11765396"</f>
        <v>11765396</v>
      </c>
      <c r="C824" s="2" t="s">
        <v>10</v>
      </c>
      <c r="D824" s="2" t="s">
        <v>11</v>
      </c>
      <c r="E824" s="4">
        <v>45239</v>
      </c>
    </row>
    <row r="825" spans="1:5" x14ac:dyDescent="0.25">
      <c r="A825" s="1" t="str">
        <f>"SOFTSKAN LIMITED"</f>
        <v>SOFTSKAN LIMITED</v>
      </c>
      <c r="B825" t="str">
        <f>"07207920"</f>
        <v>07207920</v>
      </c>
      <c r="C825" s="2" t="s">
        <v>10</v>
      </c>
      <c r="D825" s="2" t="s">
        <v>11</v>
      </c>
      <c r="E825" s="4">
        <v>45243</v>
      </c>
    </row>
    <row r="826" spans="1:5" x14ac:dyDescent="0.25">
      <c r="A826" s="1" t="str">
        <f>"DELAMERE CONSTRUCTION LTD"</f>
        <v>DELAMERE CONSTRUCTION LTD</v>
      </c>
      <c r="B826" t="str">
        <f>"10793658"</f>
        <v>10793658</v>
      </c>
      <c r="C826" s="2" t="s">
        <v>10</v>
      </c>
      <c r="D826" s="2" t="s">
        <v>11</v>
      </c>
      <c r="E826" s="4">
        <v>45244</v>
      </c>
    </row>
    <row r="827" spans="1:5" x14ac:dyDescent="0.25">
      <c r="A827" s="1" t="str">
        <f>"TECHNICARE SOLUTIONS LIMITED"</f>
        <v>TECHNICARE SOLUTIONS LIMITED</v>
      </c>
      <c r="B827" t="str">
        <f>"13266108"</f>
        <v>13266108</v>
      </c>
      <c r="C827" s="2" t="s">
        <v>10</v>
      </c>
      <c r="D827" s="2" t="s">
        <v>11</v>
      </c>
      <c r="E827" s="4">
        <v>45247</v>
      </c>
    </row>
    <row r="828" spans="1:5" x14ac:dyDescent="0.25">
      <c r="A828" s="1" t="s">
        <v>710</v>
      </c>
      <c r="B828" t="s">
        <v>711</v>
      </c>
      <c r="C828" s="2" t="s">
        <v>10</v>
      </c>
      <c r="D828" s="2" t="s">
        <v>11</v>
      </c>
      <c r="E828" s="4">
        <v>45250</v>
      </c>
    </row>
    <row r="829" spans="1:5" x14ac:dyDescent="0.25">
      <c r="A829" s="1" t="s">
        <v>817</v>
      </c>
      <c r="B829">
        <v>11282903</v>
      </c>
      <c r="C829" s="2" t="s">
        <v>10</v>
      </c>
      <c r="D829" s="2" t="s">
        <v>11</v>
      </c>
      <c r="E829" s="4">
        <v>45253</v>
      </c>
    </row>
    <row r="830" spans="1:5" x14ac:dyDescent="0.25">
      <c r="A830" s="1" t="str">
        <f>"INTEGRATED PARAMOUNT SERVICES LIMITED"</f>
        <v>INTEGRATED PARAMOUNT SERVICES LIMITED</v>
      </c>
      <c r="B830" t="str">
        <f>"08173548"</f>
        <v>08173548</v>
      </c>
      <c r="C830" s="2" t="s">
        <v>10</v>
      </c>
      <c r="D830" s="2" t="s">
        <v>11</v>
      </c>
      <c r="E830" s="4">
        <v>45257</v>
      </c>
    </row>
    <row r="831" spans="1:5" x14ac:dyDescent="0.25">
      <c r="A831" s="1" t="str">
        <f>"YALLOP CONSTRUCTION LTD"</f>
        <v>YALLOP CONSTRUCTION LTD</v>
      </c>
      <c r="B831" t="str">
        <f>"04205687"</f>
        <v>04205687</v>
      </c>
      <c r="C831" s="2" t="s">
        <v>10</v>
      </c>
      <c r="D831" s="2" t="s">
        <v>11</v>
      </c>
      <c r="E831" s="4">
        <v>45257</v>
      </c>
    </row>
    <row r="832" spans="1:5" x14ac:dyDescent="0.25">
      <c r="A832" s="1" t="s">
        <v>396</v>
      </c>
      <c r="B832">
        <v>4987256</v>
      </c>
      <c r="C832" s="2" t="s">
        <v>126</v>
      </c>
      <c r="D832" s="2" t="s">
        <v>45</v>
      </c>
      <c r="E832" s="4">
        <v>45225</v>
      </c>
    </row>
    <row r="833" spans="1:5" x14ac:dyDescent="0.25">
      <c r="A833" s="1" t="str">
        <f>"NBJC TWO LIMITED"</f>
        <v>NBJC TWO LIMITED</v>
      </c>
      <c r="B833" t="str">
        <f>"09649430"</f>
        <v>09649430</v>
      </c>
      <c r="C833" s="2" t="s">
        <v>126</v>
      </c>
      <c r="D833" s="2" t="s">
        <v>45</v>
      </c>
      <c r="E833" s="4">
        <v>45232</v>
      </c>
    </row>
    <row r="834" spans="1:5" x14ac:dyDescent="0.25">
      <c r="A834" s="1" t="str">
        <f>"BROMESBERROW CORPORATE SERVICES LIMITED"</f>
        <v>BROMESBERROW CORPORATE SERVICES LIMITED</v>
      </c>
      <c r="B834" t="str">
        <f>"09710961"</f>
        <v>09710961</v>
      </c>
      <c r="C834" s="2" t="s">
        <v>126</v>
      </c>
      <c r="D834" s="2" t="s">
        <v>45</v>
      </c>
      <c r="E834" s="4">
        <v>45238</v>
      </c>
    </row>
    <row r="835" spans="1:5" x14ac:dyDescent="0.25">
      <c r="A835" s="1" t="s">
        <v>651</v>
      </c>
      <c r="B835">
        <v>10941950</v>
      </c>
      <c r="C835" s="2" t="s">
        <v>126</v>
      </c>
      <c r="D835" s="2" t="s">
        <v>45</v>
      </c>
      <c r="E835" s="4">
        <v>45244</v>
      </c>
    </row>
    <row r="836" spans="1:5" x14ac:dyDescent="0.25">
      <c r="A836" s="1" t="str">
        <f>"COMPREHENSIVE TO BASIC DATA SOLUTIONS LIMITED"</f>
        <v>COMPREHENSIVE TO BASIC DATA SOLUTIONS LIMITED</v>
      </c>
      <c r="B836" t="str">
        <f>"10541454"</f>
        <v>10541454</v>
      </c>
      <c r="C836" s="2" t="s">
        <v>126</v>
      </c>
      <c r="D836" s="2" t="s">
        <v>45</v>
      </c>
      <c r="E836" s="4">
        <v>45245</v>
      </c>
    </row>
    <row r="837" spans="1:5" x14ac:dyDescent="0.25">
      <c r="A837" s="1" t="s">
        <v>675</v>
      </c>
      <c r="B837">
        <v>3254739</v>
      </c>
      <c r="C837" s="2" t="s">
        <v>126</v>
      </c>
      <c r="D837" s="2" t="s">
        <v>45</v>
      </c>
      <c r="E837" s="4">
        <v>45246</v>
      </c>
    </row>
    <row r="838" spans="1:5" x14ac:dyDescent="0.25">
      <c r="A838" s="1" t="s">
        <v>692</v>
      </c>
      <c r="B838" t="s">
        <v>693</v>
      </c>
      <c r="C838" s="2" t="s">
        <v>126</v>
      </c>
      <c r="D838" s="2" t="s">
        <v>45</v>
      </c>
      <c r="E838" s="4">
        <v>45251</v>
      </c>
    </row>
    <row r="839" spans="1:5" x14ac:dyDescent="0.25">
      <c r="A839" s="1" t="str">
        <f>"BAKER-BUICK LIMITED"</f>
        <v>BAKER-BUICK LIMITED</v>
      </c>
      <c r="B839" t="str">
        <f>"06677056"</f>
        <v>06677056</v>
      </c>
      <c r="C839" s="2" t="s">
        <v>126</v>
      </c>
      <c r="D839" s="2" t="s">
        <v>45</v>
      </c>
      <c r="E839" s="4">
        <v>45252</v>
      </c>
    </row>
    <row r="840" spans="1:5" x14ac:dyDescent="0.25">
      <c r="A840" s="1" t="str">
        <f>"M&amp;S PROKOP TRANSPORT LTD"</f>
        <v>M&amp;S PROKOP TRANSPORT LTD</v>
      </c>
      <c r="B840" t="str">
        <f>"12308873"</f>
        <v>12308873</v>
      </c>
      <c r="C840" s="2" t="s">
        <v>126</v>
      </c>
      <c r="D840" s="2" t="s">
        <v>45</v>
      </c>
      <c r="E840" s="4">
        <v>45253</v>
      </c>
    </row>
    <row r="841" spans="1:5" x14ac:dyDescent="0.25">
      <c r="A841" s="1" t="str">
        <f>"NICHOLSON ELECTRICAL NE LTD"</f>
        <v>NICHOLSON ELECTRICAL NE LTD</v>
      </c>
      <c r="B841" t="str">
        <f>"09171550"</f>
        <v>09171550</v>
      </c>
      <c r="C841" s="2" t="s">
        <v>304</v>
      </c>
      <c r="D841" s="2" t="s">
        <v>7</v>
      </c>
      <c r="E841" s="4">
        <v>45230</v>
      </c>
    </row>
    <row r="842" spans="1:5" x14ac:dyDescent="0.25">
      <c r="A842" s="1" t="str">
        <f>"ICEBREAKER EXECUTIVE INTERIM MANAGEMENT LIMITED"</f>
        <v>ICEBREAKER EXECUTIVE INTERIM MANAGEMENT LIMITED</v>
      </c>
      <c r="B842" t="str">
        <f>"06560465"</f>
        <v>06560465</v>
      </c>
      <c r="C842" s="2" t="s">
        <v>363</v>
      </c>
      <c r="D842" s="2" t="s">
        <v>7</v>
      </c>
      <c r="E842" s="4">
        <v>45233</v>
      </c>
    </row>
    <row r="843" spans="1:5" x14ac:dyDescent="0.25">
      <c r="A843" s="1" t="str">
        <f>"NDR ENTERPRISES LIMITED"</f>
        <v>NDR ENTERPRISES LIMITED</v>
      </c>
      <c r="B843" t="str">
        <f>"09097845"</f>
        <v>09097845</v>
      </c>
      <c r="C843" s="2" t="s">
        <v>320</v>
      </c>
      <c r="D843" s="2" t="s">
        <v>58</v>
      </c>
      <c r="E843" s="4">
        <v>45251</v>
      </c>
    </row>
    <row r="844" spans="1:5" x14ac:dyDescent="0.25">
      <c r="A844" s="1" t="str">
        <f>"SPRING HOMES (UK) LIMITED"</f>
        <v>SPRING HOMES (UK) LIMITED</v>
      </c>
      <c r="B844" t="str">
        <f>"04344359"</f>
        <v>04344359</v>
      </c>
      <c r="C844" s="2" t="s">
        <v>83</v>
      </c>
      <c r="D844" s="2" t="s">
        <v>84</v>
      </c>
      <c r="E844" s="4">
        <v>45236</v>
      </c>
    </row>
    <row r="845" spans="1:5" x14ac:dyDescent="0.25">
      <c r="A845" s="1" t="str">
        <f>"BRITISH IMPERIAL MILITARY BAND LIMITED"</f>
        <v>BRITISH IMPERIAL MILITARY BAND LIMITED</v>
      </c>
      <c r="B845" t="str">
        <f>"07941448"</f>
        <v>07941448</v>
      </c>
      <c r="C845" s="2" t="s">
        <v>83</v>
      </c>
      <c r="D845" s="2" t="s">
        <v>84</v>
      </c>
      <c r="E845" s="4">
        <v>45243</v>
      </c>
    </row>
    <row r="846" spans="1:5" x14ac:dyDescent="0.25">
      <c r="A846" s="1" t="s">
        <v>666</v>
      </c>
      <c r="B846">
        <v>1222239</v>
      </c>
      <c r="C846" s="2" t="s">
        <v>83</v>
      </c>
      <c r="D846" s="2" t="s">
        <v>84</v>
      </c>
      <c r="E846" s="4">
        <v>45250</v>
      </c>
    </row>
    <row r="847" spans="1:5" x14ac:dyDescent="0.25">
      <c r="A847" s="1" t="s">
        <v>546</v>
      </c>
      <c r="B847">
        <v>10610738</v>
      </c>
      <c r="C847" s="2" t="s">
        <v>59</v>
      </c>
      <c r="D847" s="2" t="s">
        <v>60</v>
      </c>
      <c r="E847" s="4">
        <v>45229</v>
      </c>
    </row>
    <row r="848" spans="1:5" x14ac:dyDescent="0.25">
      <c r="A848" s="1" t="str">
        <f>"THE SHAVING TIME COMPANY LIMITED"</f>
        <v>THE SHAVING TIME COMPANY LIMITED</v>
      </c>
      <c r="B848" t="str">
        <f>"09745858"</f>
        <v>09745858</v>
      </c>
      <c r="C848" s="2" t="s">
        <v>59</v>
      </c>
      <c r="D848" s="2" t="s">
        <v>60</v>
      </c>
      <c r="E848" s="4">
        <v>45237</v>
      </c>
    </row>
    <row r="849" spans="1:5" x14ac:dyDescent="0.25">
      <c r="A849" s="1" t="str">
        <f>"MAGIC MEALS LIMITED"</f>
        <v>MAGIC MEALS LIMITED</v>
      </c>
      <c r="B849" t="str">
        <f>"12489058"</f>
        <v>12489058</v>
      </c>
      <c r="C849" s="2" t="s">
        <v>59</v>
      </c>
      <c r="D849" s="2" t="s">
        <v>60</v>
      </c>
      <c r="E849" s="4">
        <v>45243</v>
      </c>
    </row>
    <row r="850" spans="1:5" x14ac:dyDescent="0.25">
      <c r="A850" s="1" t="str">
        <f>"HOLBROOK JOINERY LIMITED"</f>
        <v>HOLBROOK JOINERY LIMITED</v>
      </c>
      <c r="B850" t="str">
        <f>"10910250"</f>
        <v>10910250</v>
      </c>
      <c r="C850" s="2" t="s">
        <v>59</v>
      </c>
      <c r="D850" s="2" t="s">
        <v>60</v>
      </c>
      <c r="E850" s="4">
        <v>45244</v>
      </c>
    </row>
    <row r="851" spans="1:5" x14ac:dyDescent="0.25">
      <c r="A851" s="1" t="str">
        <f>"MZA LIMITED"</f>
        <v>MZA LIMITED</v>
      </c>
      <c r="B851" t="str">
        <f>"02799962"</f>
        <v>02799962</v>
      </c>
      <c r="C851" s="2" t="s">
        <v>276</v>
      </c>
      <c r="D851" s="2" t="s">
        <v>169</v>
      </c>
      <c r="E851" s="4">
        <v>45225</v>
      </c>
    </row>
    <row r="852" spans="1:5" x14ac:dyDescent="0.25">
      <c r="A852" s="1" t="str">
        <f>"PEAKHOUSE FOODS LIMITED"</f>
        <v>PEAKHOUSE FOODS LIMITED</v>
      </c>
      <c r="B852" t="str">
        <f>"02124215"</f>
        <v>02124215</v>
      </c>
      <c r="C852" s="2" t="s">
        <v>276</v>
      </c>
      <c r="D852" s="2" t="s">
        <v>169</v>
      </c>
      <c r="E852" s="4">
        <v>45233</v>
      </c>
    </row>
    <row r="853" spans="1:5" x14ac:dyDescent="0.25">
      <c r="A853" s="1" t="str">
        <f>"SEVERN FURNISHING LTD"</f>
        <v>SEVERN FURNISHING LTD</v>
      </c>
      <c r="B853" t="str">
        <f>"05166135"</f>
        <v>05166135</v>
      </c>
      <c r="C853" s="2" t="s">
        <v>276</v>
      </c>
      <c r="D853" s="2" t="s">
        <v>169</v>
      </c>
      <c r="E853" s="4">
        <v>45236</v>
      </c>
    </row>
    <row r="854" spans="1:5" x14ac:dyDescent="0.25">
      <c r="A854" s="1" t="str">
        <f>"THE GREEN DUCK EMPORIUM - RTW LIMITED"</f>
        <v>THE GREEN DUCK EMPORIUM - RTW LIMITED</v>
      </c>
      <c r="B854" t="str">
        <f>"12786988"</f>
        <v>12786988</v>
      </c>
      <c r="C854" s="2" t="s">
        <v>165</v>
      </c>
      <c r="D854" s="2" t="s">
        <v>108</v>
      </c>
      <c r="E854" s="4">
        <v>45236</v>
      </c>
    </row>
    <row r="855" spans="1:5" x14ac:dyDescent="0.25">
      <c r="A855" s="1" t="str">
        <f>"ASHFORD HEATING SUPPLIES LIMITED"</f>
        <v>ASHFORD HEATING SUPPLIES LIMITED</v>
      </c>
      <c r="B855" t="str">
        <f>"02263370"</f>
        <v>02263370</v>
      </c>
      <c r="C855" s="2" t="s">
        <v>165</v>
      </c>
      <c r="D855" s="2" t="s">
        <v>108</v>
      </c>
      <c r="E855" s="4">
        <v>45251</v>
      </c>
    </row>
    <row r="856" spans="1:5" x14ac:dyDescent="0.25">
      <c r="A856" s="1" t="s">
        <v>413</v>
      </c>
      <c r="B856">
        <v>13371407</v>
      </c>
      <c r="C856" s="2" t="s">
        <v>265</v>
      </c>
      <c r="D856" s="2" t="s">
        <v>266</v>
      </c>
      <c r="E856" s="4">
        <v>45229</v>
      </c>
    </row>
    <row r="857" spans="1:5" x14ac:dyDescent="0.25">
      <c r="A857" s="1" t="str">
        <f>"UV INTERNATIONAL LTD"</f>
        <v>UV INTERNATIONAL LTD</v>
      </c>
      <c r="B857" t="str">
        <f>"09604257"</f>
        <v>09604257</v>
      </c>
      <c r="C857" s="2" t="s">
        <v>265</v>
      </c>
      <c r="D857" s="2" t="s">
        <v>266</v>
      </c>
      <c r="E857" s="4">
        <v>45236</v>
      </c>
    </row>
    <row r="858" spans="1:5" x14ac:dyDescent="0.25">
      <c r="A858" s="1" t="str">
        <f>"SPONGE AND CREAM LTD"</f>
        <v>SPONGE AND CREAM LTD</v>
      </c>
      <c r="B858" t="str">
        <f>"07586298"</f>
        <v>07586298</v>
      </c>
      <c r="C858" s="2" t="s">
        <v>265</v>
      </c>
      <c r="D858" s="2" t="s">
        <v>266</v>
      </c>
      <c r="E858" s="4">
        <v>45251</v>
      </c>
    </row>
    <row r="859" spans="1:5" x14ac:dyDescent="0.25">
      <c r="A859" s="1" t="s">
        <v>834</v>
      </c>
      <c r="B859">
        <v>9117324</v>
      </c>
      <c r="C859" s="2" t="s">
        <v>265</v>
      </c>
      <c r="D859" s="2" t="s">
        <v>266</v>
      </c>
      <c r="E859" s="4">
        <v>45254</v>
      </c>
    </row>
    <row r="860" spans="1:5" x14ac:dyDescent="0.25">
      <c r="A860" s="1" t="str">
        <f>"BROOKLAND BLACK LTD"</f>
        <v>BROOKLAND BLACK LTD</v>
      </c>
      <c r="B860" t="str">
        <f>"08058543"</f>
        <v>08058543</v>
      </c>
      <c r="C860" s="2" t="s">
        <v>221</v>
      </c>
      <c r="D860" s="2" t="s">
        <v>37</v>
      </c>
      <c r="E860" s="4">
        <v>45239</v>
      </c>
    </row>
    <row r="861" spans="1:5" x14ac:dyDescent="0.25">
      <c r="A861" s="1" t="s">
        <v>526</v>
      </c>
      <c r="B861">
        <v>10013586</v>
      </c>
      <c r="C861" s="2" t="s">
        <v>67</v>
      </c>
      <c r="D861" s="2" t="s">
        <v>7</v>
      </c>
      <c r="E861" s="4">
        <v>45219</v>
      </c>
    </row>
    <row r="862" spans="1:5" x14ac:dyDescent="0.25">
      <c r="A862" s="1" t="s">
        <v>525</v>
      </c>
      <c r="B862">
        <v>11439017</v>
      </c>
      <c r="C862" s="2" t="s">
        <v>67</v>
      </c>
      <c r="D862" s="2" t="s">
        <v>7</v>
      </c>
      <c r="E862" s="4">
        <v>45223</v>
      </c>
    </row>
    <row r="863" spans="1:5" x14ac:dyDescent="0.25">
      <c r="A863" s="1" t="str">
        <f>"UVA LONDON LTD"</f>
        <v>UVA LONDON LTD</v>
      </c>
      <c r="B863" t="str">
        <f>"04155825"</f>
        <v>04155825</v>
      </c>
      <c r="C863" s="2" t="s">
        <v>67</v>
      </c>
      <c r="D863" s="2" t="s">
        <v>7</v>
      </c>
      <c r="E863" s="4">
        <v>45225</v>
      </c>
    </row>
    <row r="864" spans="1:5" x14ac:dyDescent="0.25">
      <c r="A864" s="1" t="str">
        <f>"CITY COLLEGE OF LONDON LTD"</f>
        <v>CITY COLLEGE OF LONDON LTD</v>
      </c>
      <c r="B864" t="str">
        <f>"08351668"</f>
        <v>08351668</v>
      </c>
      <c r="C864" s="2" t="s">
        <v>67</v>
      </c>
      <c r="D864" s="2" t="s">
        <v>7</v>
      </c>
      <c r="E864" s="4">
        <v>45231</v>
      </c>
    </row>
    <row r="865" spans="1:5" x14ac:dyDescent="0.25">
      <c r="A865" s="1" t="str">
        <f>"GRACE HAIR &amp; BEAUTY LTD"</f>
        <v>GRACE HAIR &amp; BEAUTY LTD</v>
      </c>
      <c r="B865" t="str">
        <f>"10892308"</f>
        <v>10892308</v>
      </c>
      <c r="C865" s="2" t="s">
        <v>67</v>
      </c>
      <c r="D865" s="2" t="s">
        <v>7</v>
      </c>
      <c r="E865" s="4">
        <v>45237</v>
      </c>
    </row>
    <row r="866" spans="1:5" x14ac:dyDescent="0.25">
      <c r="A866" s="1" t="str">
        <f>"METHOD MARKETING CONSULTANTS LTD"</f>
        <v>METHOD MARKETING CONSULTANTS LTD</v>
      </c>
      <c r="B866" t="str">
        <f>"12126159"</f>
        <v>12126159</v>
      </c>
      <c r="C866" s="2" t="s">
        <v>67</v>
      </c>
      <c r="D866" s="2" t="s">
        <v>7</v>
      </c>
      <c r="E866" s="4">
        <v>45237</v>
      </c>
    </row>
    <row r="867" spans="1:5" x14ac:dyDescent="0.25">
      <c r="A867" s="1" t="str">
        <f>"INSPIRE TECH ZONE LIMITED"</f>
        <v>INSPIRE TECH ZONE LIMITED</v>
      </c>
      <c r="B867" t="str">
        <f>"12418038"</f>
        <v>12418038</v>
      </c>
      <c r="C867" s="2" t="s">
        <v>67</v>
      </c>
      <c r="D867" s="2" t="s">
        <v>7</v>
      </c>
      <c r="E867" s="4">
        <v>45237</v>
      </c>
    </row>
    <row r="868" spans="1:5" x14ac:dyDescent="0.25">
      <c r="A868" s="1" t="str">
        <f>"LED TABLES LTD"</f>
        <v>LED TABLES LTD</v>
      </c>
      <c r="B868" t="str">
        <f>"08992446"</f>
        <v>08992446</v>
      </c>
      <c r="C868" s="2" t="s">
        <v>67</v>
      </c>
      <c r="D868" s="2" t="s">
        <v>7</v>
      </c>
      <c r="E868" s="4">
        <v>45239</v>
      </c>
    </row>
    <row r="869" spans="1:5" x14ac:dyDescent="0.25">
      <c r="A869" s="1" t="str">
        <f>"BAY LEAF (ENN) LIMITED"</f>
        <v>BAY LEAF (ENN) LIMITED</v>
      </c>
      <c r="B869" t="str">
        <f>"10351842"</f>
        <v>10351842</v>
      </c>
      <c r="C869" s="2" t="s">
        <v>67</v>
      </c>
      <c r="D869" s="2" t="s">
        <v>7</v>
      </c>
      <c r="E869" s="4">
        <v>45239</v>
      </c>
    </row>
    <row r="870" spans="1:5" x14ac:dyDescent="0.25">
      <c r="A870" s="1" t="str">
        <f>"HUNGRY BEAST LTD"</f>
        <v>HUNGRY BEAST LTD</v>
      </c>
      <c r="B870" t="str">
        <f>"11553557"</f>
        <v>11553557</v>
      </c>
      <c r="C870" s="2" t="s">
        <v>67</v>
      </c>
      <c r="D870" s="2" t="s">
        <v>7</v>
      </c>
      <c r="E870" s="4">
        <v>45239</v>
      </c>
    </row>
    <row r="871" spans="1:5" x14ac:dyDescent="0.25">
      <c r="A871" s="1" t="str">
        <f>"BDP BUSINESS FOOD LTD"</f>
        <v>BDP BUSINESS FOOD LTD</v>
      </c>
      <c r="B871" t="str">
        <f>"08061878"</f>
        <v>08061878</v>
      </c>
      <c r="C871" s="2" t="s">
        <v>67</v>
      </c>
      <c r="D871" s="2" t="s">
        <v>7</v>
      </c>
      <c r="E871" s="4">
        <v>45240</v>
      </c>
    </row>
    <row r="872" spans="1:5" x14ac:dyDescent="0.25">
      <c r="A872" s="1" t="str">
        <f>"L &amp; Z FOODS LTD"</f>
        <v>L &amp; Z FOODS LTD</v>
      </c>
      <c r="B872" t="str">
        <f>"12070855"</f>
        <v>12070855</v>
      </c>
      <c r="C872" s="2" t="s">
        <v>67</v>
      </c>
      <c r="D872" s="2" t="s">
        <v>7</v>
      </c>
      <c r="E872" s="4">
        <v>45244</v>
      </c>
    </row>
    <row r="873" spans="1:5" x14ac:dyDescent="0.25">
      <c r="A873" s="1" t="str">
        <f>"MAHI TANDOOR LIMITED"</f>
        <v>MAHI TANDOOR LIMITED</v>
      </c>
      <c r="B873" t="str">
        <f>"09729791"</f>
        <v>09729791</v>
      </c>
      <c r="C873" s="2" t="s">
        <v>67</v>
      </c>
      <c r="D873" s="2" t="s">
        <v>7</v>
      </c>
      <c r="E873" s="4">
        <v>45245</v>
      </c>
    </row>
    <row r="874" spans="1:5" x14ac:dyDescent="0.25">
      <c r="A874" s="1" t="str">
        <f>"PRO4NET LTD"</f>
        <v>PRO4NET LTD</v>
      </c>
      <c r="B874" t="str">
        <f>"07377757"</f>
        <v>07377757</v>
      </c>
      <c r="C874" s="2" t="s">
        <v>67</v>
      </c>
      <c r="D874" s="2" t="s">
        <v>7</v>
      </c>
      <c r="E874" s="4">
        <v>45246</v>
      </c>
    </row>
    <row r="875" spans="1:5" x14ac:dyDescent="0.25">
      <c r="A875" s="1" t="s">
        <v>706</v>
      </c>
      <c r="B875" t="s">
        <v>707</v>
      </c>
      <c r="C875" s="2" t="s">
        <v>67</v>
      </c>
      <c r="D875" s="2" t="s">
        <v>7</v>
      </c>
      <c r="E875" s="4">
        <v>45246</v>
      </c>
    </row>
    <row r="876" spans="1:5" x14ac:dyDescent="0.25">
      <c r="A876" s="1" t="s">
        <v>801</v>
      </c>
      <c r="B876" t="s">
        <v>802</v>
      </c>
      <c r="C876" s="2" t="s">
        <v>67</v>
      </c>
      <c r="D876" s="2" t="s">
        <v>7</v>
      </c>
      <c r="E876" s="4">
        <v>45246</v>
      </c>
    </row>
    <row r="877" spans="1:5" x14ac:dyDescent="0.25">
      <c r="A877" s="1" t="str">
        <f>"AIR COMFORT SOLUTIONS LTD"</f>
        <v>AIR COMFORT SOLUTIONS LTD</v>
      </c>
      <c r="B877" t="str">
        <f>"08770265"</f>
        <v>08770265</v>
      </c>
      <c r="C877" s="2" t="s">
        <v>67</v>
      </c>
      <c r="D877" s="2" t="s">
        <v>7</v>
      </c>
      <c r="E877" s="4">
        <v>45251</v>
      </c>
    </row>
    <row r="878" spans="1:5" x14ac:dyDescent="0.25">
      <c r="A878" s="1" t="s">
        <v>823</v>
      </c>
      <c r="B878">
        <v>6131850</v>
      </c>
      <c r="C878" s="2" t="s">
        <v>67</v>
      </c>
      <c r="D878" s="2" t="s">
        <v>7</v>
      </c>
      <c r="E878" s="4">
        <v>45251</v>
      </c>
    </row>
    <row r="879" spans="1:5" x14ac:dyDescent="0.25">
      <c r="A879" s="1" t="s">
        <v>825</v>
      </c>
      <c r="B879">
        <v>11974292</v>
      </c>
      <c r="C879" s="2" t="s">
        <v>67</v>
      </c>
      <c r="D879" s="2" t="s">
        <v>7</v>
      </c>
      <c r="E879" s="4">
        <v>45252</v>
      </c>
    </row>
    <row r="880" spans="1:5" x14ac:dyDescent="0.25">
      <c r="A880" s="1" t="s">
        <v>824</v>
      </c>
      <c r="B880">
        <v>11106151</v>
      </c>
      <c r="C880" s="2" t="s">
        <v>67</v>
      </c>
      <c r="D880" s="2" t="s">
        <v>7</v>
      </c>
      <c r="E880" s="4">
        <v>45252</v>
      </c>
    </row>
    <row r="881" spans="1:5" x14ac:dyDescent="0.25">
      <c r="A881" s="1" t="str">
        <f>"RVK CONSTRUCTION LTD"</f>
        <v>RVK CONSTRUCTION LTD</v>
      </c>
      <c r="B881" t="str">
        <f>"11663487"</f>
        <v>11663487</v>
      </c>
      <c r="C881" s="2" t="s">
        <v>67</v>
      </c>
      <c r="D881" s="2" t="s">
        <v>7</v>
      </c>
      <c r="E881" s="4">
        <v>45253</v>
      </c>
    </row>
    <row r="882" spans="1:5" x14ac:dyDescent="0.25">
      <c r="A882" s="1" t="str">
        <f>"HH FOOD LTD"</f>
        <v>HH FOOD LTD</v>
      </c>
      <c r="B882" t="str">
        <f>"11236354"</f>
        <v>11236354</v>
      </c>
      <c r="C882" s="2" t="s">
        <v>184</v>
      </c>
      <c r="D882" s="2" t="s">
        <v>88</v>
      </c>
      <c r="E882" s="4">
        <v>45245</v>
      </c>
    </row>
    <row r="883" spans="1:5" x14ac:dyDescent="0.25">
      <c r="A883" s="1" t="str">
        <f>"APOCALYPSE COW BIRMINGHAM LTD"</f>
        <v>APOCALYPSE COW BIRMINGHAM LTD</v>
      </c>
      <c r="B883" t="str">
        <f>"11236507"</f>
        <v>11236507</v>
      </c>
      <c r="C883" s="2" t="s">
        <v>184</v>
      </c>
      <c r="D883" s="2" t="s">
        <v>88</v>
      </c>
      <c r="E883" s="4">
        <v>45250</v>
      </c>
    </row>
    <row r="884" spans="1:5" x14ac:dyDescent="0.25">
      <c r="A884" s="1" t="str">
        <f>"APOCALYPSE COW NEWCASTLE LTD"</f>
        <v>APOCALYPSE COW NEWCASTLE LTD</v>
      </c>
      <c r="B884" t="str">
        <f>"11855817"</f>
        <v>11855817</v>
      </c>
      <c r="C884" s="2" t="s">
        <v>184</v>
      </c>
      <c r="D884" s="2" t="s">
        <v>88</v>
      </c>
      <c r="E884" s="4">
        <v>45251</v>
      </c>
    </row>
    <row r="885" spans="1:5" x14ac:dyDescent="0.25">
      <c r="A885" s="1" t="str">
        <f>"SPINBACK PRODUCTIONS LIMITED"</f>
        <v>SPINBACK PRODUCTIONS LIMITED</v>
      </c>
      <c r="B885" t="str">
        <f>"10002737"</f>
        <v>10002737</v>
      </c>
      <c r="C885" s="2" t="s">
        <v>184</v>
      </c>
      <c r="D885" s="2" t="s">
        <v>88</v>
      </c>
      <c r="E885" s="4">
        <v>45251</v>
      </c>
    </row>
    <row r="886" spans="1:5" x14ac:dyDescent="0.25">
      <c r="A886" s="1" t="str">
        <f>"QUOTE ME SIMPLE LTD"</f>
        <v>QUOTE ME SIMPLE LTD</v>
      </c>
      <c r="B886" t="str">
        <f>"11493343"</f>
        <v>11493343</v>
      </c>
      <c r="C886" s="2" t="s">
        <v>184</v>
      </c>
      <c r="D886" s="2" t="s">
        <v>88</v>
      </c>
      <c r="E886" s="4">
        <v>45254</v>
      </c>
    </row>
    <row r="887" spans="1:5" x14ac:dyDescent="0.25">
      <c r="A887" s="1" t="str">
        <f>"EAST INDIA (NW) LTD"</f>
        <v>EAST INDIA (NW) LTD</v>
      </c>
      <c r="B887" t="str">
        <f>"12644700"</f>
        <v>12644700</v>
      </c>
      <c r="C887" s="2" t="s">
        <v>333</v>
      </c>
      <c r="D887" s="2" t="s">
        <v>88</v>
      </c>
      <c r="E887" s="4">
        <v>45230</v>
      </c>
    </row>
    <row r="888" spans="1:5" x14ac:dyDescent="0.25">
      <c r="A888" s="1" t="str">
        <f>"PERLICH LIMITED"</f>
        <v>PERLICH LIMITED</v>
      </c>
      <c r="B888" t="str">
        <f>"09323556"</f>
        <v>09323556</v>
      </c>
      <c r="C888" s="2" t="s">
        <v>333</v>
      </c>
      <c r="D888" s="2" t="s">
        <v>88</v>
      </c>
      <c r="E888" s="4">
        <v>45233</v>
      </c>
    </row>
    <row r="889" spans="1:5" x14ac:dyDescent="0.25">
      <c r="A889" s="1" t="str">
        <f>"SHORTFORM MEDIA LIMITED"</f>
        <v>SHORTFORM MEDIA LIMITED</v>
      </c>
      <c r="B889" t="str">
        <f>"10903052"</f>
        <v>10903052</v>
      </c>
      <c r="C889" s="2" t="s">
        <v>132</v>
      </c>
      <c r="D889" s="2" t="s">
        <v>26</v>
      </c>
      <c r="E889" s="4">
        <v>45232</v>
      </c>
    </row>
    <row r="890" spans="1:5" x14ac:dyDescent="0.25">
      <c r="A890" s="1" t="str">
        <f>"LEVEL CREATIVE MEDIA LIMITED"</f>
        <v>LEVEL CREATIVE MEDIA LIMITED</v>
      </c>
      <c r="B890" t="str">
        <f>"08375891"</f>
        <v>08375891</v>
      </c>
      <c r="C890" s="2" t="s">
        <v>132</v>
      </c>
      <c r="D890" s="2" t="s">
        <v>26</v>
      </c>
      <c r="E890" s="4">
        <v>45236</v>
      </c>
    </row>
    <row r="891" spans="1:5" x14ac:dyDescent="0.25">
      <c r="A891" s="1" t="str">
        <f>"PORTLAND HOME IMPROVEMENTS LTD"</f>
        <v>PORTLAND HOME IMPROVEMENTS LTD</v>
      </c>
      <c r="B891" t="str">
        <f>"03488378"</f>
        <v>03488378</v>
      </c>
      <c r="C891" s="2" t="s">
        <v>132</v>
      </c>
      <c r="D891" s="2" t="s">
        <v>26</v>
      </c>
      <c r="E891" s="4">
        <v>45246</v>
      </c>
    </row>
    <row r="892" spans="1:5" x14ac:dyDescent="0.25">
      <c r="A892" s="1" t="str">
        <f>"B &amp; H CLEANERS &amp; MAINTENANCE LTD"</f>
        <v>B &amp; H CLEANERS &amp; MAINTENANCE LTD</v>
      </c>
      <c r="B892" t="str">
        <f>"10836501"</f>
        <v>10836501</v>
      </c>
      <c r="C892" s="2" t="s">
        <v>132</v>
      </c>
      <c r="D892" s="2" t="s">
        <v>26</v>
      </c>
      <c r="E892" s="4">
        <v>45253</v>
      </c>
    </row>
    <row r="893" spans="1:5" x14ac:dyDescent="0.25">
      <c r="A893" s="1" t="str">
        <f>"SUBLIME MECHANICAL SERVICES LTD"</f>
        <v>SUBLIME MECHANICAL SERVICES LTD</v>
      </c>
      <c r="B893" t="str">
        <f>"08618766"</f>
        <v>08618766</v>
      </c>
      <c r="C893" s="2" t="s">
        <v>132</v>
      </c>
      <c r="D893" s="2" t="s">
        <v>26</v>
      </c>
      <c r="E893" s="4">
        <v>45259</v>
      </c>
    </row>
    <row r="894" spans="1:5" x14ac:dyDescent="0.25">
      <c r="A894" s="1" t="str">
        <f>"GREENBIRD GARDENING LTD"</f>
        <v>GREENBIRD GARDENING LTD</v>
      </c>
      <c r="B894" t="str">
        <f>"10011690"</f>
        <v>10011690</v>
      </c>
      <c r="C894" s="2" t="s">
        <v>101</v>
      </c>
      <c r="D894" s="2" t="s">
        <v>102</v>
      </c>
      <c r="E894" s="4">
        <v>45225</v>
      </c>
    </row>
    <row r="895" spans="1:5" x14ac:dyDescent="0.25">
      <c r="A895" s="1" t="str">
        <f>"WALTER'S LINCOLN LTD"</f>
        <v>WALTER'S LINCOLN LTD</v>
      </c>
      <c r="B895" t="str">
        <f>"11204656"</f>
        <v>11204656</v>
      </c>
      <c r="C895" s="2" t="s">
        <v>101</v>
      </c>
      <c r="D895" s="2" t="s">
        <v>102</v>
      </c>
      <c r="E895" s="4">
        <v>45231</v>
      </c>
    </row>
    <row r="896" spans="1:5" x14ac:dyDescent="0.25">
      <c r="A896" s="1" t="str">
        <f>"AUDIO VIDEO TECHNOLOGIES LIMITED"</f>
        <v>AUDIO VIDEO TECHNOLOGIES LIMITED</v>
      </c>
      <c r="B896" t="str">
        <f>"04660199"</f>
        <v>04660199</v>
      </c>
      <c r="C896" s="2" t="s">
        <v>101</v>
      </c>
      <c r="D896" s="2" t="s">
        <v>102</v>
      </c>
      <c r="E896" s="4">
        <v>45237</v>
      </c>
    </row>
    <row r="897" spans="1:5" x14ac:dyDescent="0.25">
      <c r="A897" s="1" t="str">
        <f>"ROAD AHEAD (UK) LIMITED"</f>
        <v>ROAD AHEAD (UK) LIMITED</v>
      </c>
      <c r="B897" t="str">
        <f>"06985363"</f>
        <v>06985363</v>
      </c>
      <c r="C897" s="2" t="s">
        <v>101</v>
      </c>
      <c r="D897" s="2" t="s">
        <v>102</v>
      </c>
      <c r="E897" s="4">
        <v>45238</v>
      </c>
    </row>
    <row r="898" spans="1:5" x14ac:dyDescent="0.25">
      <c r="A898" s="1" t="str">
        <f>"SVEN CYCLES LIMITED"</f>
        <v>SVEN CYCLES LIMITED</v>
      </c>
      <c r="B898" t="str">
        <f>"08502287"</f>
        <v>08502287</v>
      </c>
      <c r="C898" s="2" t="s">
        <v>101</v>
      </c>
      <c r="D898" s="2" t="s">
        <v>102</v>
      </c>
      <c r="E898" s="4">
        <v>45240</v>
      </c>
    </row>
    <row r="899" spans="1:5" x14ac:dyDescent="0.25">
      <c r="A899" s="1" t="str">
        <f>"MARYKIT LIMITED"</f>
        <v>MARYKIT LIMITED</v>
      </c>
      <c r="B899" t="str">
        <f>"05627185"</f>
        <v>05627185</v>
      </c>
      <c r="C899" s="2" t="s">
        <v>101</v>
      </c>
      <c r="D899" s="2" t="s">
        <v>102</v>
      </c>
      <c r="E899" s="4">
        <v>45240</v>
      </c>
    </row>
    <row r="900" spans="1:5" x14ac:dyDescent="0.25">
      <c r="A900" s="1" t="str">
        <f>"VICI HOT TUBS LTD"</f>
        <v>VICI HOT TUBS LTD</v>
      </c>
      <c r="B900" t="str">
        <f>"11191256"</f>
        <v>11191256</v>
      </c>
      <c r="C900" s="2" t="s">
        <v>101</v>
      </c>
      <c r="D900" s="2" t="s">
        <v>102</v>
      </c>
      <c r="E900" s="4">
        <v>45251</v>
      </c>
    </row>
    <row r="901" spans="1:5" x14ac:dyDescent="0.25">
      <c r="A901" s="1" t="s">
        <v>535</v>
      </c>
      <c r="B901">
        <v>13152487</v>
      </c>
      <c r="C901" s="2" t="s">
        <v>76</v>
      </c>
      <c r="D901" s="2" t="s">
        <v>34</v>
      </c>
      <c r="E901" s="4">
        <v>45223</v>
      </c>
    </row>
    <row r="902" spans="1:5" x14ac:dyDescent="0.25">
      <c r="A902" s="1" t="str">
        <f>"SO-SAFE LIFTING LIMITED"</f>
        <v>SO-SAFE LIFTING LIMITED</v>
      </c>
      <c r="B902" t="str">
        <f>"08039910"</f>
        <v>08039910</v>
      </c>
      <c r="C902" s="2" t="s">
        <v>76</v>
      </c>
      <c r="D902" s="2" t="s">
        <v>34</v>
      </c>
      <c r="E902" s="4">
        <v>45229</v>
      </c>
    </row>
    <row r="903" spans="1:5" x14ac:dyDescent="0.25">
      <c r="A903" s="1" t="str">
        <f>"DICKEYBOW LEEDS LTD"</f>
        <v>DICKEYBOW LEEDS LTD</v>
      </c>
      <c r="B903" t="str">
        <f>"12333437"</f>
        <v>12333437</v>
      </c>
      <c r="C903" s="2" t="s">
        <v>76</v>
      </c>
      <c r="D903" s="2" t="s">
        <v>34</v>
      </c>
      <c r="E903" s="4">
        <v>45230</v>
      </c>
    </row>
    <row r="904" spans="1:5" x14ac:dyDescent="0.25">
      <c r="A904" s="1" t="str">
        <f>"HAIR HEAVEN NORTH LIMITED"</f>
        <v>HAIR HEAVEN NORTH LIMITED</v>
      </c>
      <c r="B904" t="str">
        <f>"10335117"</f>
        <v>10335117</v>
      </c>
      <c r="C904" s="2" t="s">
        <v>76</v>
      </c>
      <c r="D904" s="2" t="s">
        <v>34</v>
      </c>
      <c r="E904" s="4">
        <v>45230</v>
      </c>
    </row>
    <row r="905" spans="1:5" x14ac:dyDescent="0.25">
      <c r="A905" s="1" t="str">
        <f>"UZUME LTD"</f>
        <v>UZUME LTD</v>
      </c>
      <c r="B905" t="str">
        <f>"10678748"</f>
        <v>10678748</v>
      </c>
      <c r="C905" s="2" t="s">
        <v>76</v>
      </c>
      <c r="D905" s="2" t="s">
        <v>34</v>
      </c>
      <c r="E905" s="4">
        <v>45244</v>
      </c>
    </row>
    <row r="906" spans="1:5" x14ac:dyDescent="0.25">
      <c r="A906" s="1" t="str">
        <f>"MAMBOS EXPRESS LTD"</f>
        <v>MAMBOS EXPRESS LTD</v>
      </c>
      <c r="B906" t="str">
        <f>"13152496"</f>
        <v>13152496</v>
      </c>
      <c r="C906" s="2" t="s">
        <v>76</v>
      </c>
      <c r="D906" s="2" t="s">
        <v>34</v>
      </c>
      <c r="E906" s="4">
        <v>45247</v>
      </c>
    </row>
    <row r="907" spans="1:5" x14ac:dyDescent="0.25">
      <c r="A907" s="1" t="s">
        <v>376</v>
      </c>
      <c r="B907">
        <v>5183727</v>
      </c>
      <c r="C907" s="2" t="s">
        <v>282</v>
      </c>
      <c r="D907" s="2" t="s">
        <v>7</v>
      </c>
      <c r="E907" s="4">
        <v>45218</v>
      </c>
    </row>
    <row r="908" spans="1:5" x14ac:dyDescent="0.25">
      <c r="A908" s="1" t="str">
        <f>"DOTCOM LIVING LIMITED"</f>
        <v>DOTCOM LIVING LIMITED</v>
      </c>
      <c r="B908" t="str">
        <f>"06678977"</f>
        <v>06678977</v>
      </c>
      <c r="C908" s="2" t="s">
        <v>282</v>
      </c>
      <c r="D908" s="2" t="s">
        <v>7</v>
      </c>
      <c r="E908" s="4">
        <v>45244</v>
      </c>
    </row>
    <row r="909" spans="1:5" x14ac:dyDescent="0.25">
      <c r="A909" s="1" t="str">
        <f>"EBIKEBRUM CIC"</f>
        <v>EBIKEBRUM CIC</v>
      </c>
      <c r="B909" t="str">
        <f>"11549219"</f>
        <v>11549219</v>
      </c>
      <c r="C909" s="2" t="s">
        <v>294</v>
      </c>
      <c r="D909" s="2" t="s">
        <v>11</v>
      </c>
      <c r="E909" s="4">
        <v>45250</v>
      </c>
    </row>
    <row r="910" spans="1:5" x14ac:dyDescent="0.25">
      <c r="A910" s="1" t="str">
        <f>"PWE CONTRACTORS LIMITED"</f>
        <v>PWE CONTRACTORS LIMITED</v>
      </c>
      <c r="B910" t="str">
        <f>"10975767"</f>
        <v>10975767</v>
      </c>
      <c r="C910" s="2" t="s">
        <v>860</v>
      </c>
      <c r="D910" s="2" t="s">
        <v>274</v>
      </c>
      <c r="E910" s="4">
        <v>45253</v>
      </c>
    </row>
    <row r="911" spans="1:5" x14ac:dyDescent="0.25">
      <c r="A911" s="1" t="str">
        <f>"INNOVATION FIRE &amp; SECURITY LTD"</f>
        <v>INNOVATION FIRE &amp; SECURITY LTD</v>
      </c>
      <c r="B911" t="str">
        <f>"07867797"</f>
        <v>07867797</v>
      </c>
      <c r="C911" s="2" t="s">
        <v>803</v>
      </c>
      <c r="D911" s="2" t="s">
        <v>351</v>
      </c>
      <c r="E911" s="4">
        <v>45222</v>
      </c>
    </row>
    <row r="912" spans="1:5" x14ac:dyDescent="0.25">
      <c r="A912" s="1" t="str">
        <f>"FACTORY SECONDS (STOKE) LIMITED"</f>
        <v>FACTORY SECONDS (STOKE) LIMITED</v>
      </c>
      <c r="B912" t="str">
        <f>"08927305"</f>
        <v>08927305</v>
      </c>
      <c r="C912" s="2" t="s">
        <v>290</v>
      </c>
      <c r="D912" s="2" t="s">
        <v>291</v>
      </c>
      <c r="E912" s="4">
        <v>45233</v>
      </c>
    </row>
    <row r="913" spans="1:5" x14ac:dyDescent="0.25">
      <c r="A913" s="1" t="str">
        <f>"28 AT 28 LTD"</f>
        <v>28 AT 28 LTD</v>
      </c>
      <c r="B913" t="str">
        <f>"12031174"</f>
        <v>12031174</v>
      </c>
      <c r="C913" s="2" t="s">
        <v>290</v>
      </c>
      <c r="D913" s="2" t="s">
        <v>291</v>
      </c>
      <c r="E913" s="4">
        <v>45239</v>
      </c>
    </row>
    <row r="914" spans="1:5" x14ac:dyDescent="0.25">
      <c r="A914" s="1" t="str">
        <f>"3D MACHINE SHOP ENGINEERING LTD"</f>
        <v>3D MACHINE SHOP ENGINEERING LTD</v>
      </c>
      <c r="B914" t="str">
        <f>"05857685"</f>
        <v>05857685</v>
      </c>
      <c r="C914" s="2" t="s">
        <v>290</v>
      </c>
      <c r="D914" s="2" t="s">
        <v>291</v>
      </c>
      <c r="E914" s="4">
        <v>45240</v>
      </c>
    </row>
    <row r="915" spans="1:5" x14ac:dyDescent="0.25">
      <c r="A915" s="1" t="str">
        <f>"CALTEC ENVIRONMENTAL SERVICES LTD"</f>
        <v>CALTEC ENVIRONMENTAL SERVICES LTD</v>
      </c>
      <c r="B915" t="str">
        <f>"07703468"</f>
        <v>07703468</v>
      </c>
      <c r="C915" s="2" t="s">
        <v>290</v>
      </c>
      <c r="D915" s="2" t="s">
        <v>291</v>
      </c>
      <c r="E915" s="4">
        <v>45243</v>
      </c>
    </row>
    <row r="916" spans="1:5" x14ac:dyDescent="0.25">
      <c r="A916" s="1" t="str">
        <f>"SJ AUTOSPORT ONE LTD"</f>
        <v>SJ AUTOSPORT ONE LTD</v>
      </c>
      <c r="B916" t="str">
        <f>"10778746"</f>
        <v>10778746</v>
      </c>
      <c r="C916" s="2" t="s">
        <v>290</v>
      </c>
      <c r="D916" s="2" t="s">
        <v>291</v>
      </c>
      <c r="E916" s="4">
        <v>45244</v>
      </c>
    </row>
    <row r="917" spans="1:5" x14ac:dyDescent="0.25">
      <c r="A917" s="1" t="str">
        <f>"MAJESTIC CARPETS &amp; FLOORING LIMITED"</f>
        <v>MAJESTIC CARPETS &amp; FLOORING LIMITED</v>
      </c>
      <c r="B917" t="str">
        <f>"10107047"</f>
        <v>10107047</v>
      </c>
      <c r="C917" s="2" t="s">
        <v>290</v>
      </c>
      <c r="D917" s="2" t="s">
        <v>291</v>
      </c>
      <c r="E917" s="4">
        <v>45247</v>
      </c>
    </row>
    <row r="918" spans="1:5" x14ac:dyDescent="0.25">
      <c r="A918" s="1" t="s">
        <v>751</v>
      </c>
      <c r="B918" t="s">
        <v>752</v>
      </c>
      <c r="C918" s="2" t="s">
        <v>290</v>
      </c>
      <c r="D918" s="2" t="s">
        <v>291</v>
      </c>
      <c r="E918" s="4">
        <v>45250</v>
      </c>
    </row>
    <row r="919" spans="1:5" x14ac:dyDescent="0.25">
      <c r="A919" s="1" t="str">
        <f>"LECKHAMPTON TYRES &amp; MOT LTD"</f>
        <v>LECKHAMPTON TYRES &amp; MOT LTD</v>
      </c>
      <c r="B919" t="str">
        <f>"12309796"</f>
        <v>12309796</v>
      </c>
      <c r="C919" s="2" t="s">
        <v>590</v>
      </c>
      <c r="D919" s="2" t="s">
        <v>169</v>
      </c>
      <c r="E919" s="4">
        <v>45231</v>
      </c>
    </row>
    <row r="920" spans="1:5" x14ac:dyDescent="0.25">
      <c r="A920" s="1" t="str">
        <f>"HOLCROS LIMITED"</f>
        <v>HOLCROS LIMITED</v>
      </c>
      <c r="B920" t="str">
        <f>"05456990"</f>
        <v>05456990</v>
      </c>
      <c r="C920" s="2" t="s">
        <v>611</v>
      </c>
      <c r="D920" s="2" t="s">
        <v>71</v>
      </c>
      <c r="E920" s="4">
        <v>45247</v>
      </c>
    </row>
    <row r="921" spans="1:5" x14ac:dyDescent="0.25">
      <c r="A921" s="1" t="str">
        <f>"RJSG ENTERTAINMENT LTD"</f>
        <v>RJSG ENTERTAINMENT LTD</v>
      </c>
      <c r="B921" t="str">
        <f>"10234414"</f>
        <v>10234414</v>
      </c>
      <c r="C921" s="2" t="s">
        <v>341</v>
      </c>
      <c r="D921" s="2" t="s">
        <v>26</v>
      </c>
      <c r="E921" s="4">
        <v>45239</v>
      </c>
    </row>
    <row r="922" spans="1:5" x14ac:dyDescent="0.25">
      <c r="A922" s="1" t="s">
        <v>379</v>
      </c>
      <c r="B922">
        <v>4833353</v>
      </c>
      <c r="C922" s="2" t="s">
        <v>96</v>
      </c>
      <c r="D922" s="2" t="s">
        <v>97</v>
      </c>
      <c r="E922" s="4">
        <v>45223</v>
      </c>
    </row>
    <row r="923" spans="1:5" x14ac:dyDescent="0.25">
      <c r="A923" s="1" t="str">
        <f>"RIVA PR LTD"</f>
        <v>RIVA PR LTD</v>
      </c>
      <c r="B923" t="str">
        <f>"05218871"</f>
        <v>05218871</v>
      </c>
      <c r="C923" s="2" t="s">
        <v>96</v>
      </c>
      <c r="D923" s="2" t="s">
        <v>97</v>
      </c>
      <c r="E923" s="4">
        <v>45230</v>
      </c>
    </row>
    <row r="924" spans="1:5" x14ac:dyDescent="0.25">
      <c r="A924" s="1" t="str">
        <f>"OGDEN CONSTRUCTION LIMITED"</f>
        <v>OGDEN CONSTRUCTION LIMITED</v>
      </c>
      <c r="B924" t="str">
        <f>"09395732"</f>
        <v>09395732</v>
      </c>
      <c r="C924" s="2" t="s">
        <v>96</v>
      </c>
      <c r="D924" s="2" t="s">
        <v>97</v>
      </c>
      <c r="E924" s="4">
        <v>45232</v>
      </c>
    </row>
    <row r="925" spans="1:5" x14ac:dyDescent="0.25">
      <c r="A925" s="1" t="str">
        <f>"TEXTILE SCREENPRINT LTD"</f>
        <v>TEXTILE SCREENPRINT LTD</v>
      </c>
      <c r="B925" t="str">
        <f>"14367438"</f>
        <v>14367438</v>
      </c>
      <c r="C925" s="2" t="s">
        <v>96</v>
      </c>
      <c r="D925" s="2" t="s">
        <v>97</v>
      </c>
      <c r="E925" s="4">
        <v>45233</v>
      </c>
    </row>
    <row r="926" spans="1:5" x14ac:dyDescent="0.25">
      <c r="A926" s="1" t="str">
        <f>"ANDREW CHARLES AT VISAGE LTD"</f>
        <v>ANDREW CHARLES AT VISAGE LTD</v>
      </c>
      <c r="B926" t="str">
        <f>"04645333"</f>
        <v>04645333</v>
      </c>
      <c r="C926" s="2" t="s">
        <v>96</v>
      </c>
      <c r="D926" s="2" t="s">
        <v>97</v>
      </c>
      <c r="E926" s="4">
        <v>45236</v>
      </c>
    </row>
    <row r="927" spans="1:5" x14ac:dyDescent="0.25">
      <c r="A927" s="1" t="str">
        <f>"TARGETT HOUSING LIMITED"</f>
        <v>TARGETT HOUSING LIMITED</v>
      </c>
      <c r="B927" t="str">
        <f>"14412449"</f>
        <v>14412449</v>
      </c>
      <c r="C927" s="2" t="s">
        <v>96</v>
      </c>
      <c r="D927" s="2" t="s">
        <v>97</v>
      </c>
      <c r="E927" s="4">
        <v>45237</v>
      </c>
    </row>
    <row r="928" spans="1:5" x14ac:dyDescent="0.25">
      <c r="A928" s="1" t="str">
        <f>"LGS TRANSPORT SERVICES LTD"</f>
        <v>LGS TRANSPORT SERVICES LTD</v>
      </c>
      <c r="B928" t="str">
        <f>"07972173"</f>
        <v>07972173</v>
      </c>
      <c r="C928" s="2" t="s">
        <v>96</v>
      </c>
      <c r="D928" s="2" t="s">
        <v>97</v>
      </c>
      <c r="E928" s="4">
        <v>45239</v>
      </c>
    </row>
    <row r="929" spans="1:5" x14ac:dyDescent="0.25">
      <c r="A929" s="1" t="str">
        <f>"MV APP HOLDINGS LIMITED"</f>
        <v>MV APP HOLDINGS LIMITED</v>
      </c>
      <c r="B929" t="str">
        <f>"10659098"</f>
        <v>10659098</v>
      </c>
      <c r="C929" s="2" t="s">
        <v>96</v>
      </c>
      <c r="D929" s="2" t="s">
        <v>97</v>
      </c>
      <c r="E929" s="4">
        <v>45240</v>
      </c>
    </row>
    <row r="930" spans="1:5" x14ac:dyDescent="0.25">
      <c r="A930" s="1" t="str">
        <f>"C-SIDE ARCHITECTURAL DESIGN LIMITED"</f>
        <v>C-SIDE ARCHITECTURAL DESIGN LIMITED</v>
      </c>
      <c r="B930" t="str">
        <f>"09374961"</f>
        <v>09374961</v>
      </c>
      <c r="C930" s="2" t="s">
        <v>96</v>
      </c>
      <c r="D930" s="2" t="s">
        <v>97</v>
      </c>
      <c r="E930" s="4">
        <v>45240</v>
      </c>
    </row>
    <row r="931" spans="1:5" x14ac:dyDescent="0.25">
      <c r="A931" s="1" t="str">
        <f>"M BUBB CONSTRUCTION LTD"</f>
        <v>M BUBB CONSTRUCTION LTD</v>
      </c>
      <c r="B931" t="str">
        <f>"11075800"</f>
        <v>11075800</v>
      </c>
      <c r="C931" s="2" t="s">
        <v>96</v>
      </c>
      <c r="D931" s="2" t="s">
        <v>97</v>
      </c>
      <c r="E931" s="4">
        <v>45243</v>
      </c>
    </row>
    <row r="932" spans="1:5" x14ac:dyDescent="0.25">
      <c r="A932" s="1" t="str">
        <f>"MALLINDINE ASSOCIATES LTD"</f>
        <v>MALLINDINE ASSOCIATES LTD</v>
      </c>
      <c r="B932" t="str">
        <f>"05276308"</f>
        <v>05276308</v>
      </c>
      <c r="C932" s="2" t="s">
        <v>96</v>
      </c>
      <c r="D932" s="2" t="s">
        <v>97</v>
      </c>
      <c r="E932" s="4">
        <v>45243</v>
      </c>
    </row>
    <row r="933" spans="1:5" x14ac:dyDescent="0.25">
      <c r="A933" s="1" t="str">
        <f>"MOBILITY2YOU LTD"</f>
        <v>MOBILITY2YOU LTD</v>
      </c>
      <c r="B933" t="str">
        <f>"08144875"</f>
        <v>08144875</v>
      </c>
      <c r="C933" s="2" t="s">
        <v>96</v>
      </c>
      <c r="D933" s="2" t="s">
        <v>97</v>
      </c>
      <c r="E933" s="4">
        <v>45244</v>
      </c>
    </row>
    <row r="934" spans="1:5" x14ac:dyDescent="0.25">
      <c r="A934" s="1" t="str">
        <f>"CHEMI-CALL LTD"</f>
        <v>CHEMI-CALL LTD</v>
      </c>
      <c r="B934" t="str">
        <f>"04634013"</f>
        <v>04634013</v>
      </c>
      <c r="C934" s="2" t="s">
        <v>96</v>
      </c>
      <c r="D934" s="2" t="s">
        <v>97</v>
      </c>
      <c r="E934" s="4">
        <v>45244</v>
      </c>
    </row>
    <row r="935" spans="1:5" x14ac:dyDescent="0.25">
      <c r="A935" s="1" t="str">
        <f>"AVCARE LTD"</f>
        <v>AVCARE LTD</v>
      </c>
      <c r="B935" t="str">
        <f>"10386354"</f>
        <v>10386354</v>
      </c>
      <c r="C935" s="2" t="s">
        <v>96</v>
      </c>
      <c r="D935" s="2" t="s">
        <v>97</v>
      </c>
      <c r="E935" s="4">
        <v>45245</v>
      </c>
    </row>
    <row r="936" spans="1:5" x14ac:dyDescent="0.25">
      <c r="A936" s="1" t="str">
        <f>"SOLIDWOODSHOPUK LTD"</f>
        <v>SOLIDWOODSHOPUK LTD</v>
      </c>
      <c r="B936" t="str">
        <f>"13844280"</f>
        <v>13844280</v>
      </c>
      <c r="C936" s="2" t="s">
        <v>96</v>
      </c>
      <c r="D936" s="2" t="s">
        <v>97</v>
      </c>
      <c r="E936" s="4">
        <v>45245</v>
      </c>
    </row>
    <row r="937" spans="1:5" x14ac:dyDescent="0.25">
      <c r="A937" s="1" t="str">
        <f>"AMC UK GROUP LTD"</f>
        <v>AMC UK GROUP LTD</v>
      </c>
      <c r="B937" t="str">
        <f>"12619279"</f>
        <v>12619279</v>
      </c>
      <c r="C937" s="2" t="s">
        <v>96</v>
      </c>
      <c r="D937" s="2" t="s">
        <v>97</v>
      </c>
      <c r="E937" s="4">
        <v>45245</v>
      </c>
    </row>
    <row r="938" spans="1:5" x14ac:dyDescent="0.25">
      <c r="A938" s="1" t="str">
        <f>"RODO CREATIVE LIMITED"</f>
        <v>RODO CREATIVE LIMITED</v>
      </c>
      <c r="B938" t="str">
        <f>"07876117"</f>
        <v>07876117</v>
      </c>
      <c r="C938" s="2" t="s">
        <v>96</v>
      </c>
      <c r="D938" s="2" t="s">
        <v>97</v>
      </c>
      <c r="E938" s="4">
        <v>45246</v>
      </c>
    </row>
    <row r="939" spans="1:5" x14ac:dyDescent="0.25">
      <c r="A939" s="1" t="s">
        <v>621</v>
      </c>
      <c r="B939">
        <v>11898413</v>
      </c>
      <c r="C939" s="2" t="s">
        <v>96</v>
      </c>
      <c r="D939" s="2" t="s">
        <v>97</v>
      </c>
      <c r="E939" s="4">
        <v>45247</v>
      </c>
    </row>
    <row r="940" spans="1:5" x14ac:dyDescent="0.25">
      <c r="A940" s="1" t="s">
        <v>625</v>
      </c>
      <c r="B940">
        <v>12541329</v>
      </c>
      <c r="C940" s="2" t="s">
        <v>96</v>
      </c>
      <c r="D940" s="2" t="s">
        <v>97</v>
      </c>
      <c r="E940" s="4">
        <v>45250</v>
      </c>
    </row>
    <row r="941" spans="1:5" x14ac:dyDescent="0.25">
      <c r="A941" s="1" t="s">
        <v>627</v>
      </c>
      <c r="B941">
        <v>8033428</v>
      </c>
      <c r="C941" s="2" t="s">
        <v>96</v>
      </c>
      <c r="D941" s="2" t="s">
        <v>97</v>
      </c>
      <c r="E941" s="4">
        <v>45250</v>
      </c>
    </row>
    <row r="942" spans="1:5" x14ac:dyDescent="0.25">
      <c r="A942" s="1" t="str">
        <f>"HOUSE HOLD APPLIANCES 247 LIMITED"</f>
        <v>HOUSE HOLD APPLIANCES 247 LIMITED</v>
      </c>
      <c r="B942" t="str">
        <f>"12910722"</f>
        <v>12910722</v>
      </c>
      <c r="C942" s="2" t="s">
        <v>96</v>
      </c>
      <c r="D942" s="2" t="s">
        <v>97</v>
      </c>
      <c r="E942" s="4">
        <v>45252</v>
      </c>
    </row>
    <row r="943" spans="1:5" x14ac:dyDescent="0.25">
      <c r="A943" s="1" t="str">
        <f>"WYVERTECH LIMITED"</f>
        <v>WYVERTECH LIMITED</v>
      </c>
      <c r="B943" t="str">
        <f>"09331229"</f>
        <v>09331229</v>
      </c>
      <c r="C943" s="2" t="s">
        <v>96</v>
      </c>
      <c r="D943" s="2" t="s">
        <v>97</v>
      </c>
      <c r="E943" s="4">
        <v>45252</v>
      </c>
    </row>
    <row r="944" spans="1:5" x14ac:dyDescent="0.25">
      <c r="A944" s="1" t="str">
        <f>"ROKU:HAIRDRESSING LIMITED"</f>
        <v>ROKU:HAIRDRESSING LIMITED</v>
      </c>
      <c r="B944" t="str">
        <f>"08917356"</f>
        <v>08917356</v>
      </c>
      <c r="C944" s="2" t="s">
        <v>96</v>
      </c>
      <c r="D944" s="2" t="s">
        <v>97</v>
      </c>
      <c r="E944" s="4">
        <v>45253</v>
      </c>
    </row>
    <row r="945" spans="1:5" x14ac:dyDescent="0.25">
      <c r="A945" s="1" t="str">
        <f>"WHITEHORSE FISH AND CHICKEN LIMITED"</f>
        <v>WHITEHORSE FISH AND CHICKEN LIMITED</v>
      </c>
      <c r="B945" t="str">
        <f>"11892131"</f>
        <v>11892131</v>
      </c>
      <c r="C945" s="2" t="s">
        <v>96</v>
      </c>
      <c r="D945" s="2" t="s">
        <v>97</v>
      </c>
      <c r="E945" s="4">
        <v>45257</v>
      </c>
    </row>
    <row r="946" spans="1:5" x14ac:dyDescent="0.25">
      <c r="A946" s="1" t="str">
        <f>"RENOVO PROPERTIES LTD"</f>
        <v>RENOVO PROPERTIES LTD</v>
      </c>
      <c r="B946" t="str">
        <f>"09859601"</f>
        <v>09859601</v>
      </c>
      <c r="C946" s="2" t="s">
        <v>96</v>
      </c>
      <c r="D946" s="2" t="s">
        <v>97</v>
      </c>
      <c r="E946" s="4">
        <v>45257</v>
      </c>
    </row>
    <row r="947" spans="1:5" s="15" customFormat="1" x14ac:dyDescent="0.25">
      <c r="A947" s="13" t="str">
        <f>"BRADY CONSTRUCTION SERVICES LIMITED"</f>
        <v>BRADY CONSTRUCTION SERVICES LIMITED</v>
      </c>
      <c r="B947" s="15" t="str">
        <f>"08212590"</f>
        <v>08212590</v>
      </c>
      <c r="C947" s="14" t="s">
        <v>601</v>
      </c>
      <c r="D947" s="14" t="s">
        <v>75</v>
      </c>
      <c r="E947" s="16">
        <v>45239</v>
      </c>
    </row>
    <row r="948" spans="1:5" s="15" customFormat="1" x14ac:dyDescent="0.25">
      <c r="A948" s="13" t="str">
        <f>"SWIFT AUTOMOTIVE PRODUCTS LIMITED"</f>
        <v>SWIFT AUTOMOTIVE PRODUCTS LIMITED</v>
      </c>
      <c r="B948" s="15" t="str">
        <f>"10153953"</f>
        <v>10153953</v>
      </c>
      <c r="C948" s="14" t="s">
        <v>595</v>
      </c>
      <c r="D948" s="14" t="s">
        <v>71</v>
      </c>
      <c r="E948" s="16">
        <v>45237</v>
      </c>
    </row>
    <row r="949" spans="1:5" s="15" customFormat="1" x14ac:dyDescent="0.25">
      <c r="A949" s="13" t="str">
        <f>"CORAL CIVIL ENGINEERING LIMITED"</f>
        <v>CORAL CIVIL ENGINEERING LIMITED</v>
      </c>
      <c r="B949" s="15" t="str">
        <f>"08137439"</f>
        <v>08137439</v>
      </c>
      <c r="C949" s="14" t="s">
        <v>610</v>
      </c>
      <c r="D949" s="14" t="s">
        <v>88</v>
      </c>
      <c r="E949" s="16">
        <v>45244</v>
      </c>
    </row>
    <row r="950" spans="1:5" s="15" customFormat="1" x14ac:dyDescent="0.25">
      <c r="A950" s="13" t="str">
        <f>"BRADY CONSTRUCTION SERVICES LIMITED"</f>
        <v>BRADY CONSTRUCTION SERVICES LIMITED</v>
      </c>
      <c r="B950" s="15" t="str">
        <f>"08212590"</f>
        <v>08212590</v>
      </c>
      <c r="C950" s="14" t="s">
        <v>602</v>
      </c>
      <c r="D950" s="14" t="s">
        <v>75</v>
      </c>
      <c r="E950" s="16">
        <v>45239</v>
      </c>
    </row>
    <row r="951" spans="1:5" s="15" customFormat="1" x14ac:dyDescent="0.25">
      <c r="A951" s="13" t="str">
        <f>"CBS CONCRETING LIMITED"</f>
        <v>CBS CONCRETING LIMITED</v>
      </c>
      <c r="B951" s="15" t="str">
        <f>"08415675"</f>
        <v>08415675</v>
      </c>
      <c r="C951" s="14" t="s">
        <v>598</v>
      </c>
      <c r="D951" s="14" t="s">
        <v>329</v>
      </c>
      <c r="E951" s="16">
        <v>45231</v>
      </c>
    </row>
    <row r="952" spans="1:5" s="15" customFormat="1" x14ac:dyDescent="0.25">
      <c r="A952" s="13" t="str">
        <f>"SWIFT AUTOMOTIVE PRODUCTS LIMITED"</f>
        <v>SWIFT AUTOMOTIVE PRODUCTS LIMITED</v>
      </c>
      <c r="B952" s="15" t="str">
        <f>"10153953"</f>
        <v>10153953</v>
      </c>
      <c r="C952" s="14" t="s">
        <v>594</v>
      </c>
      <c r="D952" s="14" t="s">
        <v>291</v>
      </c>
      <c r="E952" s="16">
        <v>45237</v>
      </c>
    </row>
    <row r="953" spans="1:5" s="15" customFormat="1" x14ac:dyDescent="0.25">
      <c r="A953" s="13" t="str">
        <f>"KISS GYMS LTD"</f>
        <v>KISS GYMS LTD</v>
      </c>
      <c r="B953" s="15" t="str">
        <f>"07253034"</f>
        <v>07253034</v>
      </c>
      <c r="C953" s="14" t="s">
        <v>857</v>
      </c>
      <c r="D953" s="14" t="s">
        <v>97</v>
      </c>
      <c r="E953" s="16">
        <v>45257</v>
      </c>
    </row>
    <row r="954" spans="1:5" s="15" customFormat="1" x14ac:dyDescent="0.25">
      <c r="A954" s="13" t="str">
        <f>"KONNEXX LTD"</f>
        <v>KONNEXX LTD</v>
      </c>
      <c r="B954" s="15" t="str">
        <f>"10577809"</f>
        <v>10577809</v>
      </c>
      <c r="C954" s="14" t="s">
        <v>365</v>
      </c>
      <c r="D954" s="14" t="s">
        <v>7</v>
      </c>
      <c r="E954" s="16">
        <v>45229</v>
      </c>
    </row>
    <row r="955" spans="1:5" s="15" customFormat="1" x14ac:dyDescent="0.25">
      <c r="A955" s="13" t="str">
        <f>"CORAL CIVIL ENGINEERING LIMITED"</f>
        <v>CORAL CIVIL ENGINEERING LIMITED</v>
      </c>
      <c r="B955" s="15" t="str">
        <f>"08137439"</f>
        <v>08137439</v>
      </c>
      <c r="C955" s="14" t="s">
        <v>365</v>
      </c>
      <c r="D955" s="14" t="s">
        <v>7</v>
      </c>
      <c r="E955" s="16">
        <v>45244</v>
      </c>
    </row>
    <row r="956" spans="1:5" s="15" customFormat="1" x14ac:dyDescent="0.25">
      <c r="A956" s="13" t="str">
        <f>"CBS CONCRETING LIMITED"</f>
        <v>CBS CONCRETING LIMITED</v>
      </c>
      <c r="B956" s="15" t="str">
        <f>"08415675"</f>
        <v>08415675</v>
      </c>
      <c r="C956" s="14" t="s">
        <v>599</v>
      </c>
      <c r="D956" s="14" t="s">
        <v>26</v>
      </c>
      <c r="E956" s="16">
        <v>45231</v>
      </c>
    </row>
    <row r="957" spans="1:5" s="15" customFormat="1" x14ac:dyDescent="0.25">
      <c r="A957" s="13" t="str">
        <f>"KONNEXX LTD"</f>
        <v>KONNEXX LTD</v>
      </c>
      <c r="B957" s="15" t="str">
        <f>"10577809"</f>
        <v>10577809</v>
      </c>
      <c r="C957" s="14" t="s">
        <v>368</v>
      </c>
      <c r="D957" s="14" t="s">
        <v>92</v>
      </c>
      <c r="E957" s="16">
        <v>45229</v>
      </c>
    </row>
    <row r="958" spans="1:5" s="15" customFormat="1" x14ac:dyDescent="0.25">
      <c r="A958" s="13" t="str">
        <f>"EMD CONTRACTORS (SW) LTD"</f>
        <v>EMD CONTRACTORS (SW) LTD</v>
      </c>
      <c r="B958" s="15" t="str">
        <f>"13000172"</f>
        <v>13000172</v>
      </c>
      <c r="C958" s="14" t="s">
        <v>584</v>
      </c>
      <c r="D958" s="14" t="s">
        <v>37</v>
      </c>
      <c r="E958" s="16">
        <v>45230</v>
      </c>
    </row>
    <row r="959" spans="1:5" s="15" customFormat="1" x14ac:dyDescent="0.25">
      <c r="A959" s="13" t="str">
        <f>"FLL09985781 LIMITED"</f>
        <v>FLL09985781 LIMITED</v>
      </c>
      <c r="B959" s="15" t="str">
        <f>"09985781"</f>
        <v>09985781</v>
      </c>
      <c r="C959" s="14" t="s">
        <v>584</v>
      </c>
      <c r="D959" s="14" t="s">
        <v>7</v>
      </c>
      <c r="E959" s="16">
        <v>45239</v>
      </c>
    </row>
    <row r="960" spans="1:5" s="15" customFormat="1" x14ac:dyDescent="0.25">
      <c r="A960" s="13" t="str">
        <f>"EMD CONTRACTORS (SW) LTD"</f>
        <v>EMD CONTRACTORS (SW) LTD</v>
      </c>
      <c r="B960" s="15" t="str">
        <f>"13000172"</f>
        <v>13000172</v>
      </c>
      <c r="C960" s="14" t="s">
        <v>583</v>
      </c>
      <c r="D960" s="14" t="s">
        <v>232</v>
      </c>
      <c r="E960" s="16">
        <v>45230</v>
      </c>
    </row>
    <row r="961" spans="1:5" s="15" customFormat="1" x14ac:dyDescent="0.25">
      <c r="A961" s="13" t="str">
        <f>"FLL09985781 LIMITED"</f>
        <v>FLL09985781 LIMITED</v>
      </c>
      <c r="B961" s="15" t="str">
        <f>"09985781"</f>
        <v>09985781</v>
      </c>
      <c r="C961" s="14" t="s">
        <v>275</v>
      </c>
      <c r="D961" s="14" t="s">
        <v>263</v>
      </c>
      <c r="E961" s="16">
        <v>45239</v>
      </c>
    </row>
    <row r="962" spans="1:5" s="15" customFormat="1" x14ac:dyDescent="0.25">
      <c r="A962" s="13" t="str">
        <f>"KISS GYMS LTD"</f>
        <v>KISS GYMS LTD</v>
      </c>
      <c r="B962" s="15" t="str">
        <f>"07253034"</f>
        <v>07253034</v>
      </c>
      <c r="C962" s="14" t="s">
        <v>275</v>
      </c>
      <c r="D962" s="14" t="s">
        <v>26</v>
      </c>
      <c r="E962" s="16">
        <v>45257</v>
      </c>
    </row>
    <row r="963" spans="1:5" s="15" customFormat="1" x14ac:dyDescent="0.25">
      <c r="A963" s="13" t="str">
        <f>"PLYMOUTH REMOVERS LIMITED"</f>
        <v>PLYMOUTH REMOVERS LIMITED</v>
      </c>
      <c r="B963" s="15" t="str">
        <f>"07517027"</f>
        <v>07517027</v>
      </c>
      <c r="C963" s="14" t="s">
        <v>275</v>
      </c>
      <c r="D963" s="14" t="s">
        <v>78</v>
      </c>
      <c r="E963" s="16">
        <v>45257</v>
      </c>
    </row>
    <row r="964" spans="1:5" s="15" customFormat="1" x14ac:dyDescent="0.25">
      <c r="A964" s="13" t="str">
        <f>"PLYMOUTH REMOVERS LIMITED"</f>
        <v>PLYMOUTH REMOVERS LIMITED</v>
      </c>
      <c r="B964" s="15" t="str">
        <f>"07517027"</f>
        <v>07517027</v>
      </c>
      <c r="C964" s="14" t="s">
        <v>859</v>
      </c>
      <c r="D964" s="14" t="s">
        <v>75</v>
      </c>
      <c r="E964" s="16">
        <v>45257</v>
      </c>
    </row>
    <row r="965" spans="1:5" x14ac:dyDescent="0.25">
      <c r="A965" s="1" t="s">
        <v>397</v>
      </c>
      <c r="B965">
        <v>11537117</v>
      </c>
      <c r="C965" s="2" t="s">
        <v>156</v>
      </c>
      <c r="D965" s="2" t="s">
        <v>7</v>
      </c>
      <c r="E965" s="4">
        <v>45223</v>
      </c>
    </row>
    <row r="966" spans="1:5" x14ac:dyDescent="0.25">
      <c r="A966" s="1" t="str">
        <f>"PRESTIGE CREATORS LIMITED"</f>
        <v>PRESTIGE CREATORS LIMITED</v>
      </c>
      <c r="B966" t="str">
        <f>"12307468"</f>
        <v>12307468</v>
      </c>
      <c r="C966" s="2" t="s">
        <v>156</v>
      </c>
      <c r="D966" s="2" t="s">
        <v>7</v>
      </c>
      <c r="E966" s="4">
        <v>45231</v>
      </c>
    </row>
    <row r="967" spans="1:5" x14ac:dyDescent="0.25">
      <c r="A967" s="1" t="str">
        <f>"NIMBLETANK LTD"</f>
        <v>NIMBLETANK LTD</v>
      </c>
      <c r="B967" t="str">
        <f>"07879508"</f>
        <v>07879508</v>
      </c>
      <c r="C967" s="2" t="s">
        <v>156</v>
      </c>
      <c r="D967" s="2" t="s">
        <v>7</v>
      </c>
      <c r="E967" s="4">
        <v>45232</v>
      </c>
    </row>
    <row r="968" spans="1:5" x14ac:dyDescent="0.25">
      <c r="A968" s="1" t="str">
        <f>"CAPITAL CONTENT LIMITED"</f>
        <v>CAPITAL CONTENT LIMITED</v>
      </c>
      <c r="B968" t="str">
        <f>"10746012"</f>
        <v>10746012</v>
      </c>
      <c r="C968" s="2" t="s">
        <v>156</v>
      </c>
      <c r="D968" s="2" t="s">
        <v>7</v>
      </c>
      <c r="E968" s="4">
        <v>45233</v>
      </c>
    </row>
    <row r="969" spans="1:5" x14ac:dyDescent="0.25">
      <c r="A969" s="1" t="str">
        <f>"365 SECURITY (SERVICES) LTD"</f>
        <v>365 SECURITY (SERVICES) LTD</v>
      </c>
      <c r="B969" t="str">
        <f>"09147049"</f>
        <v>09147049</v>
      </c>
      <c r="C969" s="2" t="s">
        <v>156</v>
      </c>
      <c r="D969" s="2" t="s">
        <v>7</v>
      </c>
      <c r="E969" s="4">
        <v>45239</v>
      </c>
    </row>
    <row r="970" spans="1:5" x14ac:dyDescent="0.25">
      <c r="A970" s="1" t="str">
        <f>"NETWORK FASHIONS LTD"</f>
        <v>NETWORK FASHIONS LTD</v>
      </c>
      <c r="B970" t="str">
        <f>"13393134"</f>
        <v>13393134</v>
      </c>
      <c r="C970" s="2" t="s">
        <v>156</v>
      </c>
      <c r="D970" s="2" t="s">
        <v>7</v>
      </c>
      <c r="E970" s="4">
        <v>45245</v>
      </c>
    </row>
    <row r="971" spans="1:5" x14ac:dyDescent="0.25">
      <c r="A971" s="1" t="s">
        <v>647</v>
      </c>
      <c r="B971">
        <v>6949968</v>
      </c>
      <c r="C971" s="2" t="s">
        <v>156</v>
      </c>
      <c r="D971" s="2" t="s">
        <v>7</v>
      </c>
      <c r="E971" s="4">
        <v>45245</v>
      </c>
    </row>
    <row r="972" spans="1:5" x14ac:dyDescent="0.25">
      <c r="A972" s="1" t="str">
        <f>"FAYE FRANCESCA CONSULTING LTD"</f>
        <v>FAYE FRANCESCA CONSULTING LTD</v>
      </c>
      <c r="B972" t="str">
        <f>"08867229"</f>
        <v>08867229</v>
      </c>
      <c r="C972" s="2" t="s">
        <v>156</v>
      </c>
      <c r="D972" s="2" t="s">
        <v>7</v>
      </c>
      <c r="E972" s="4">
        <v>45251</v>
      </c>
    </row>
    <row r="973" spans="1:5" x14ac:dyDescent="0.25">
      <c r="A973" s="1" t="str">
        <f>"MEDIBEAUTY LIMITED"</f>
        <v>MEDIBEAUTY LIMITED</v>
      </c>
      <c r="B973" t="str">
        <f>"11997445"</f>
        <v>11997445</v>
      </c>
      <c r="C973" s="2" t="s">
        <v>156</v>
      </c>
      <c r="D973" s="2" t="s">
        <v>7</v>
      </c>
      <c r="E973" s="4">
        <v>45254</v>
      </c>
    </row>
    <row r="974" spans="1:5" x14ac:dyDescent="0.25">
      <c r="A974" s="1" t="s">
        <v>831</v>
      </c>
      <c r="B974">
        <v>7789289</v>
      </c>
      <c r="C974" s="2" t="s">
        <v>160</v>
      </c>
      <c r="D974" s="2" t="s">
        <v>161</v>
      </c>
      <c r="E974" s="4">
        <v>45254</v>
      </c>
    </row>
    <row r="975" spans="1:5" x14ac:dyDescent="0.25">
      <c r="A975" s="1" t="s">
        <v>418</v>
      </c>
      <c r="B975">
        <v>8653365</v>
      </c>
      <c r="C975" s="2" t="s">
        <v>141</v>
      </c>
      <c r="D975" s="2" t="s">
        <v>11</v>
      </c>
      <c r="E975" s="4">
        <v>45226</v>
      </c>
    </row>
    <row r="976" spans="1:5" x14ac:dyDescent="0.25">
      <c r="A976" s="1" t="s">
        <v>398</v>
      </c>
      <c r="B976">
        <v>7677825</v>
      </c>
      <c r="C976" s="2" t="s">
        <v>141</v>
      </c>
      <c r="D976" s="2" t="s">
        <v>11</v>
      </c>
      <c r="E976" s="4">
        <v>45226</v>
      </c>
    </row>
    <row r="977" spans="1:5" x14ac:dyDescent="0.25">
      <c r="A977" s="1" t="s">
        <v>565</v>
      </c>
      <c r="B977">
        <v>14290759</v>
      </c>
      <c r="C977" s="2" t="s">
        <v>141</v>
      </c>
      <c r="D977" s="2" t="s">
        <v>11</v>
      </c>
      <c r="E977" s="4">
        <v>45230</v>
      </c>
    </row>
    <row r="978" spans="1:5" x14ac:dyDescent="0.25">
      <c r="A978" s="1" t="str">
        <f>"ARMAAN CONSTRUCTION LTD"</f>
        <v>ARMAAN CONSTRUCTION LTD</v>
      </c>
      <c r="B978" t="str">
        <f>"10555006"</f>
        <v>10555006</v>
      </c>
      <c r="C978" s="2" t="s">
        <v>141</v>
      </c>
      <c r="D978" s="2" t="s">
        <v>11</v>
      </c>
      <c r="E978" s="4">
        <v>45247</v>
      </c>
    </row>
    <row r="979" spans="1:5" x14ac:dyDescent="0.25">
      <c r="A979" s="1" t="s">
        <v>639</v>
      </c>
      <c r="B979">
        <v>10132821</v>
      </c>
      <c r="C979" s="2" t="s">
        <v>141</v>
      </c>
      <c r="D979" s="2" t="s">
        <v>11</v>
      </c>
      <c r="E979" s="4">
        <v>45247</v>
      </c>
    </row>
    <row r="980" spans="1:5" x14ac:dyDescent="0.25">
      <c r="A980" s="1" t="s">
        <v>840</v>
      </c>
      <c r="B980">
        <v>12959511</v>
      </c>
      <c r="C980" s="2" t="s">
        <v>141</v>
      </c>
      <c r="D980" s="2" t="s">
        <v>11</v>
      </c>
      <c r="E980" s="4">
        <v>45251</v>
      </c>
    </row>
    <row r="981" spans="1:5" x14ac:dyDescent="0.25">
      <c r="A981" s="1" t="str">
        <f>"JOHN BOLAND PRINT &amp; RUBBER STAMP MANUFACTURERS LIMITED"</f>
        <v>JOHN BOLAND PRINT &amp; RUBBER STAMP MANUFACTURERS LIMITED</v>
      </c>
      <c r="B981" t="str">
        <f>"01886724"</f>
        <v>01886724</v>
      </c>
      <c r="C981" s="2" t="s">
        <v>353</v>
      </c>
      <c r="D981" s="2" t="s">
        <v>272</v>
      </c>
      <c r="E981" s="4">
        <v>45245</v>
      </c>
    </row>
    <row r="982" spans="1:5" x14ac:dyDescent="0.25">
      <c r="A982" s="1" t="str">
        <f>"AUTO SCRATCH MASTER LTD"</f>
        <v>AUTO SCRATCH MASTER LTD</v>
      </c>
      <c r="B982" t="str">
        <f>"09307239"</f>
        <v>09307239</v>
      </c>
      <c r="C982" s="2" t="s">
        <v>175</v>
      </c>
      <c r="D982" s="2" t="s">
        <v>75</v>
      </c>
      <c r="E982" s="4">
        <v>45247</v>
      </c>
    </row>
    <row r="983" spans="1:5" x14ac:dyDescent="0.25">
      <c r="A983" s="1" t="s">
        <v>854</v>
      </c>
      <c r="B983">
        <v>8347804</v>
      </c>
      <c r="C983" s="2" t="s">
        <v>175</v>
      </c>
      <c r="D983" s="2" t="s">
        <v>75</v>
      </c>
      <c r="E983" s="4">
        <v>45247</v>
      </c>
    </row>
    <row r="984" spans="1:5" x14ac:dyDescent="0.25">
      <c r="A984" s="1" t="str">
        <f>"R.RICHARDS &amp; SON LIMITED"</f>
        <v>R.RICHARDS &amp; SON LIMITED</v>
      </c>
      <c r="B984" t="str">
        <f>"06678227"</f>
        <v>06678227</v>
      </c>
      <c r="C984" s="2" t="s">
        <v>175</v>
      </c>
      <c r="D984" s="2" t="s">
        <v>287</v>
      </c>
      <c r="E984" s="4">
        <v>45232</v>
      </c>
    </row>
    <row r="985" spans="1:5" x14ac:dyDescent="0.25">
      <c r="A985" s="1" t="str">
        <f>"HILLMANN SKIPS LTD"</f>
        <v>HILLMANN SKIPS LTD</v>
      </c>
      <c r="B985" t="str">
        <f>"12316106"</f>
        <v>12316106</v>
      </c>
      <c r="C985" s="2" t="s">
        <v>175</v>
      </c>
      <c r="D985" s="2" t="s">
        <v>287</v>
      </c>
      <c r="E985" s="4">
        <v>45237</v>
      </c>
    </row>
    <row r="986" spans="1:5" x14ac:dyDescent="0.25">
      <c r="A986" s="1" t="str">
        <f>"U N ENTERPRISES LTD"</f>
        <v>U N ENTERPRISES LTD</v>
      </c>
      <c r="B986" t="str">
        <f>"08863170"</f>
        <v>08863170</v>
      </c>
      <c r="C986" s="2" t="s">
        <v>175</v>
      </c>
      <c r="D986" s="2" t="s">
        <v>287</v>
      </c>
      <c r="E986" s="4">
        <v>45237</v>
      </c>
    </row>
    <row r="987" spans="1:5" x14ac:dyDescent="0.25">
      <c r="A987" s="1" t="str">
        <f>"HILLMANN ENGINEERING LTD"</f>
        <v>HILLMANN ENGINEERING LTD</v>
      </c>
      <c r="B987" t="str">
        <f>"10609702"</f>
        <v>10609702</v>
      </c>
      <c r="C987" s="2" t="s">
        <v>175</v>
      </c>
      <c r="D987" s="2" t="s">
        <v>287</v>
      </c>
      <c r="E987" s="4">
        <v>45237</v>
      </c>
    </row>
    <row r="988" spans="1:5" x14ac:dyDescent="0.25">
      <c r="A988" s="1" t="str">
        <f>"STEAD ENTERPRISES LTD"</f>
        <v>STEAD ENTERPRISES LTD</v>
      </c>
      <c r="B988" t="str">
        <f>"10332915"</f>
        <v>10332915</v>
      </c>
      <c r="C988" s="2" t="s">
        <v>175</v>
      </c>
      <c r="D988" s="2" t="s">
        <v>287</v>
      </c>
      <c r="E988" s="4">
        <v>45247</v>
      </c>
    </row>
    <row r="989" spans="1:5" x14ac:dyDescent="0.25">
      <c r="A989" s="1" t="str">
        <f>"DECORATIVE SURFACE DISTRIBUTORS LTD"</f>
        <v>DECORATIVE SURFACE DISTRIBUTORS LTD</v>
      </c>
      <c r="B989" t="str">
        <f>"07842517"</f>
        <v>07842517</v>
      </c>
      <c r="C989" s="2" t="s">
        <v>240</v>
      </c>
      <c r="D989" s="2" t="s">
        <v>45</v>
      </c>
      <c r="E989" s="4">
        <v>45229</v>
      </c>
    </row>
    <row r="990" spans="1:5" x14ac:dyDescent="0.25">
      <c r="A990" s="1" t="str">
        <f>"FENN LIMITED"</f>
        <v>FENN LIMITED</v>
      </c>
      <c r="B990" t="str">
        <f>"06877007"</f>
        <v>06877007</v>
      </c>
      <c r="C990" s="2" t="s">
        <v>240</v>
      </c>
      <c r="D990" s="2" t="s">
        <v>45</v>
      </c>
      <c r="E990" s="4">
        <v>45233</v>
      </c>
    </row>
    <row r="991" spans="1:5" x14ac:dyDescent="0.25">
      <c r="A991" s="1" t="str">
        <f>"CUMBRIAN STORAGE LIMITED"</f>
        <v>CUMBRIAN STORAGE LIMITED</v>
      </c>
      <c r="B991" t="str">
        <f>"01130726"</f>
        <v>01130726</v>
      </c>
      <c r="C991" s="2" t="s">
        <v>240</v>
      </c>
      <c r="D991" s="2" t="s">
        <v>45</v>
      </c>
      <c r="E991" s="4">
        <v>45237</v>
      </c>
    </row>
    <row r="992" spans="1:5" x14ac:dyDescent="0.25">
      <c r="A992" s="1" t="str">
        <f>"AQUA-KING LIMITED"</f>
        <v>AQUA-KING LIMITED</v>
      </c>
      <c r="B992" t="str">
        <f>"03657067"</f>
        <v>03657067</v>
      </c>
      <c r="C992" s="2" t="s">
        <v>261</v>
      </c>
      <c r="D992" s="2" t="s">
        <v>262</v>
      </c>
      <c r="E992" s="4">
        <v>45232</v>
      </c>
    </row>
    <row r="993" spans="1:5" x14ac:dyDescent="0.25">
      <c r="A993" s="1" t="str">
        <f>"E SCOOTER PROFESSIONALS LTD"</f>
        <v>E SCOOTER PROFESSIONALS LTD</v>
      </c>
      <c r="B993" t="str">
        <f>"11955768"</f>
        <v>11955768</v>
      </c>
      <c r="C993" s="2" t="s">
        <v>261</v>
      </c>
      <c r="D993" s="2" t="s">
        <v>262</v>
      </c>
      <c r="E993" s="4">
        <v>45233</v>
      </c>
    </row>
    <row r="994" spans="1:5" x14ac:dyDescent="0.25">
      <c r="A994" s="1" t="str">
        <f>"FINDON GARDEN CENTRE LTD"</f>
        <v>FINDON GARDEN CENTRE LTD</v>
      </c>
      <c r="B994" t="str">
        <f>"11993818"</f>
        <v>11993818</v>
      </c>
      <c r="C994" s="2" t="s">
        <v>261</v>
      </c>
      <c r="D994" s="2" t="s">
        <v>262</v>
      </c>
      <c r="E994" s="4">
        <v>45233</v>
      </c>
    </row>
    <row r="995" spans="1:5" x14ac:dyDescent="0.25">
      <c r="A995" s="1" t="str">
        <f>"SHIPLAKE HOMES LIMITED"</f>
        <v>SHIPLAKE HOMES LIMITED</v>
      </c>
      <c r="B995" t="str">
        <f>"08838115"</f>
        <v>08838115</v>
      </c>
      <c r="C995" s="2" t="s">
        <v>261</v>
      </c>
      <c r="D995" s="2" t="s">
        <v>262</v>
      </c>
      <c r="E995" s="4">
        <v>45240</v>
      </c>
    </row>
    <row r="996" spans="1:5" x14ac:dyDescent="0.25">
      <c r="A996" s="1" t="str">
        <f>"BLUE ANCHOR BYFLEET LTD"</f>
        <v>BLUE ANCHOR BYFLEET LTD</v>
      </c>
      <c r="B996" t="str">
        <f>"07670740"</f>
        <v>07670740</v>
      </c>
      <c r="C996" s="2" t="s">
        <v>261</v>
      </c>
      <c r="D996" s="2" t="s">
        <v>262</v>
      </c>
      <c r="E996" s="4">
        <v>45246</v>
      </c>
    </row>
    <row r="997" spans="1:5" x14ac:dyDescent="0.25">
      <c r="A997" s="1" t="str">
        <f>"WYATT &amp; JONES LIMITED"</f>
        <v>WYATT &amp; JONES LIMITED</v>
      </c>
      <c r="B997" t="str">
        <f>"11281529"</f>
        <v>11281529</v>
      </c>
      <c r="C997" s="2" t="s">
        <v>246</v>
      </c>
      <c r="D997" s="2" t="s">
        <v>247</v>
      </c>
      <c r="E997" s="4">
        <v>45230</v>
      </c>
    </row>
    <row r="998" spans="1:5" x14ac:dyDescent="0.25">
      <c r="A998" s="1" t="s">
        <v>635</v>
      </c>
      <c r="B998">
        <v>5162953</v>
      </c>
      <c r="C998" s="2" t="s">
        <v>246</v>
      </c>
      <c r="D998" s="2" t="s">
        <v>247</v>
      </c>
      <c r="E998" s="4">
        <v>45245</v>
      </c>
    </row>
    <row r="999" spans="1:5" x14ac:dyDescent="0.25">
      <c r="A999" s="1" t="str">
        <f>"SDI (PROPCO 90) LIMITED"</f>
        <v>SDI (PROPCO 90) LIMITED</v>
      </c>
      <c r="B999" t="str">
        <f>"11649431"</f>
        <v>11649431</v>
      </c>
      <c r="C999" s="2" t="s">
        <v>279</v>
      </c>
      <c r="D999" s="2" t="s">
        <v>26</v>
      </c>
      <c r="E999" s="4">
        <v>45253</v>
      </c>
    </row>
    <row r="1000" spans="1:5" x14ac:dyDescent="0.25">
      <c r="A1000" s="1" t="str">
        <f>"BILL IDENTITY LIMITED"</f>
        <v>BILL IDENTITY LIMITED</v>
      </c>
      <c r="B1000" t="str">
        <f>"08786489"</f>
        <v>08786489</v>
      </c>
      <c r="C1000" s="2" t="s">
        <v>279</v>
      </c>
      <c r="D1000" s="2" t="s">
        <v>26</v>
      </c>
      <c r="E1000" s="4">
        <v>45253</v>
      </c>
    </row>
    <row r="1001" spans="1:5" x14ac:dyDescent="0.25">
      <c r="A1001" s="1" t="str">
        <f>"CHI 8 LTD"</f>
        <v>CHI 8 LTD</v>
      </c>
      <c r="B1001" t="str">
        <f>"09124637"</f>
        <v>09124637</v>
      </c>
      <c r="C1001" s="2" t="s">
        <v>202</v>
      </c>
      <c r="D1001" s="2" t="s">
        <v>7</v>
      </c>
      <c r="E1001" s="4">
        <v>45236</v>
      </c>
    </row>
    <row r="1002" spans="1:5" x14ac:dyDescent="0.25">
      <c r="A1002" s="1" t="str">
        <f>"SF CALLINTON LIMITED"</f>
        <v>SF CALLINTON LIMITED</v>
      </c>
      <c r="B1002" t="str">
        <f>"13127987"</f>
        <v>13127987</v>
      </c>
      <c r="C1002" s="2" t="s">
        <v>202</v>
      </c>
      <c r="D1002" s="2" t="s">
        <v>7</v>
      </c>
      <c r="E1002" s="4">
        <v>45243</v>
      </c>
    </row>
    <row r="1003" spans="1:5" x14ac:dyDescent="0.25">
      <c r="A1003" s="1" t="str">
        <f>"THAIGLURR LIMITED"</f>
        <v>THAIGLURR LIMITED</v>
      </c>
      <c r="B1003" t="str">
        <f>"11955997"</f>
        <v>11955997</v>
      </c>
      <c r="C1003" s="2" t="s">
        <v>202</v>
      </c>
      <c r="D1003" s="2" t="s">
        <v>7</v>
      </c>
      <c r="E1003" s="4">
        <v>45250</v>
      </c>
    </row>
    <row r="1004" spans="1:5" x14ac:dyDescent="0.25">
      <c r="A1004" s="1" t="str">
        <f>"BLUE RICKSHAW LTD"</f>
        <v>BLUE RICKSHAW LTD</v>
      </c>
      <c r="B1004" t="str">
        <f>"09830244"</f>
        <v>09830244</v>
      </c>
      <c r="C1004" s="2" t="s">
        <v>202</v>
      </c>
      <c r="D1004" s="2" t="s">
        <v>7</v>
      </c>
      <c r="E1004" s="4">
        <v>45257</v>
      </c>
    </row>
    <row r="1005" spans="1:5" x14ac:dyDescent="0.25">
      <c r="A1005" s="1" t="str">
        <f>"THE SILK ROOM RESTAURANT LIMITED"</f>
        <v>THE SILK ROOM RESTAURANT LIMITED</v>
      </c>
      <c r="B1005" t="str">
        <f>"04118177"</f>
        <v>04118177</v>
      </c>
      <c r="C1005" s="2" t="s">
        <v>280</v>
      </c>
      <c r="D1005" s="2" t="s">
        <v>93</v>
      </c>
      <c r="E1005" s="4">
        <v>45243</v>
      </c>
    </row>
    <row r="1006" spans="1:5" x14ac:dyDescent="0.25">
      <c r="A1006" s="1" t="s">
        <v>842</v>
      </c>
      <c r="B1006">
        <v>9813520</v>
      </c>
      <c r="C1006" s="2" t="s">
        <v>280</v>
      </c>
      <c r="D1006" s="2" t="s">
        <v>93</v>
      </c>
      <c r="E1006" s="4">
        <v>45253</v>
      </c>
    </row>
    <row r="1007" spans="1:5" x14ac:dyDescent="0.25">
      <c r="A1007" s="1" t="str">
        <f>"GET IT SOURCED LTD"</f>
        <v>GET IT SOURCED LTD</v>
      </c>
      <c r="B1007" t="str">
        <f>"12177409"</f>
        <v>12177409</v>
      </c>
      <c r="C1007" s="2" t="s">
        <v>268</v>
      </c>
      <c r="D1007" s="2" t="s">
        <v>269</v>
      </c>
      <c r="E1007" s="4">
        <v>45257</v>
      </c>
    </row>
    <row r="1008" spans="1:5" x14ac:dyDescent="0.25">
      <c r="A1008" s="1" t="s">
        <v>746</v>
      </c>
      <c r="B1008" t="s">
        <v>747</v>
      </c>
      <c r="C1008" s="2" t="s">
        <v>130</v>
      </c>
      <c r="D1008" s="2" t="s">
        <v>131</v>
      </c>
      <c r="E1008" s="4">
        <v>45251</v>
      </c>
    </row>
    <row r="1009" spans="1:5" x14ac:dyDescent="0.25">
      <c r="A1009" s="1" t="s">
        <v>439</v>
      </c>
      <c r="B1009">
        <v>10752183</v>
      </c>
      <c r="C1009" s="2" t="s">
        <v>323</v>
      </c>
      <c r="D1009" s="2" t="s">
        <v>49</v>
      </c>
      <c r="E1009" s="4">
        <v>45224</v>
      </c>
    </row>
    <row r="1010" spans="1:5" x14ac:dyDescent="0.25">
      <c r="A1010" s="1" t="s">
        <v>658</v>
      </c>
      <c r="B1010">
        <v>7851348</v>
      </c>
      <c r="C1010" s="2" t="s">
        <v>323</v>
      </c>
      <c r="D1010" s="2" t="s">
        <v>49</v>
      </c>
      <c r="E1010" s="4">
        <v>45247</v>
      </c>
    </row>
    <row r="1011" spans="1:5" x14ac:dyDescent="0.25">
      <c r="A1011" s="1" t="str">
        <f>"CAPJ LTD"</f>
        <v>CAPJ LTD</v>
      </c>
      <c r="B1011" t="str">
        <f>"10386482"</f>
        <v>10386482</v>
      </c>
      <c r="C1011" s="2" t="s">
        <v>323</v>
      </c>
      <c r="D1011" s="2" t="s">
        <v>49</v>
      </c>
      <c r="E1011" s="4">
        <v>45250</v>
      </c>
    </row>
    <row r="1012" spans="1:5" x14ac:dyDescent="0.25">
      <c r="A1012" s="1" t="s">
        <v>855</v>
      </c>
      <c r="B1012">
        <v>6422267</v>
      </c>
      <c r="C1012" s="2" t="s">
        <v>323</v>
      </c>
      <c r="D1012" s="2" t="s">
        <v>49</v>
      </c>
      <c r="E1012" s="4">
        <v>45253</v>
      </c>
    </row>
    <row r="1013" spans="1:5" x14ac:dyDescent="0.25">
      <c r="A1013" s="1" t="str">
        <f>"TAYLOR I M S LTD"</f>
        <v>TAYLOR I M S LTD</v>
      </c>
      <c r="B1013" t="str">
        <f>"06896356"</f>
        <v>06896356</v>
      </c>
      <c r="C1013" s="2" t="s">
        <v>323</v>
      </c>
      <c r="D1013" s="2" t="s">
        <v>49</v>
      </c>
      <c r="E1013" s="4">
        <v>45253</v>
      </c>
    </row>
    <row r="1014" spans="1:5" x14ac:dyDescent="0.25">
      <c r="A1014" s="1" t="str">
        <f>"MEAL DEAL BRIGGATE LTD"</f>
        <v>MEAL DEAL BRIGGATE LTD</v>
      </c>
      <c r="B1014" t="str">
        <f>"13252128"</f>
        <v>13252128</v>
      </c>
      <c r="C1014" s="2" t="s">
        <v>597</v>
      </c>
      <c r="D1014" s="2" t="s">
        <v>11</v>
      </c>
      <c r="E1014" s="4">
        <v>45237</v>
      </c>
    </row>
    <row r="1015" spans="1:5" x14ac:dyDescent="0.25">
      <c r="A1015" s="1" t="str">
        <f>"GOODS WHOLESALE LTD"</f>
        <v>GOODS WHOLESALE LTD</v>
      </c>
      <c r="B1015" t="str">
        <f>"08369846"</f>
        <v>08369846</v>
      </c>
      <c r="C1015" s="2" t="s">
        <v>597</v>
      </c>
      <c r="D1015" s="2" t="s">
        <v>11</v>
      </c>
      <c r="E1015" s="4">
        <v>45240</v>
      </c>
    </row>
    <row r="1016" spans="1:5" x14ac:dyDescent="0.25">
      <c r="A1016" s="1" t="str">
        <f>"VSV PROJECTS LTD"</f>
        <v>VSV PROJECTS LTD</v>
      </c>
      <c r="B1016" t="str">
        <f>"13268382"</f>
        <v>13268382</v>
      </c>
      <c r="C1016" s="2" t="s">
        <v>597</v>
      </c>
      <c r="D1016" s="2" t="s">
        <v>11</v>
      </c>
      <c r="E1016" s="4">
        <v>45243</v>
      </c>
    </row>
    <row r="1017" spans="1:5" x14ac:dyDescent="0.25">
      <c r="A1017" s="1" t="s">
        <v>673</v>
      </c>
      <c r="B1017">
        <v>12471037</v>
      </c>
      <c r="C1017" s="2" t="s">
        <v>597</v>
      </c>
      <c r="D1017" s="2" t="s">
        <v>11</v>
      </c>
      <c r="E1017" s="4">
        <v>45246</v>
      </c>
    </row>
    <row r="1018" spans="1:5" x14ac:dyDescent="0.25">
      <c r="A1018" s="1" t="str">
        <f>"TASTE OF LAHORE EALING EXPRESS LTD"</f>
        <v>TASTE OF LAHORE EALING EXPRESS LTD</v>
      </c>
      <c r="B1018" t="str">
        <f>"12814906"</f>
        <v>12814906</v>
      </c>
      <c r="C1018" s="2" t="s">
        <v>597</v>
      </c>
      <c r="D1018" s="2" t="s">
        <v>11</v>
      </c>
      <c r="E1018" s="4">
        <v>45253</v>
      </c>
    </row>
    <row r="1019" spans="1:5" x14ac:dyDescent="0.25">
      <c r="A1019" s="1" t="str">
        <f>"MB COURIERS LTD"</f>
        <v>MB COURIERS LTD</v>
      </c>
      <c r="B1019" t="str">
        <f>"11430929"</f>
        <v>11430929</v>
      </c>
      <c r="C1019" s="2" t="s">
        <v>597</v>
      </c>
      <c r="D1019" s="2" t="s">
        <v>11</v>
      </c>
      <c r="E1019" s="4">
        <v>45257</v>
      </c>
    </row>
    <row r="1020" spans="1:5" x14ac:dyDescent="0.25">
      <c r="A1020" s="1" t="str">
        <f>"DBI ESTATES LTD"</f>
        <v>DBI ESTATES LTD</v>
      </c>
      <c r="B1020" t="str">
        <f>"12448566"</f>
        <v>12448566</v>
      </c>
      <c r="C1020" s="2" t="s">
        <v>86</v>
      </c>
      <c r="D1020" s="2" t="s">
        <v>49</v>
      </c>
      <c r="E1020" s="4">
        <v>45175</v>
      </c>
    </row>
    <row r="1021" spans="1:5" x14ac:dyDescent="0.25">
      <c r="A1021" s="1" t="str">
        <f>"BLACK OLIVE RESTAURANTS LTD"</f>
        <v>BLACK OLIVE RESTAURANTS LTD</v>
      </c>
      <c r="B1021" t="str">
        <f>"12208170"</f>
        <v>12208170</v>
      </c>
      <c r="C1021" s="2" t="s">
        <v>86</v>
      </c>
      <c r="D1021" s="2" t="s">
        <v>49</v>
      </c>
      <c r="E1021" s="4">
        <v>45182</v>
      </c>
    </row>
    <row r="1022" spans="1:5" x14ac:dyDescent="0.25">
      <c r="A1022" s="1" t="str">
        <f>"JOHN DAS CONSULTING LIMITED"</f>
        <v>JOHN DAS CONSULTING LIMITED</v>
      </c>
      <c r="B1022" t="str">
        <f>"06424141"</f>
        <v>06424141</v>
      </c>
      <c r="C1022" s="2" t="s">
        <v>86</v>
      </c>
      <c r="D1022" s="2" t="s">
        <v>49</v>
      </c>
      <c r="E1022" s="4">
        <v>45226</v>
      </c>
    </row>
    <row r="1023" spans="1:5" x14ac:dyDescent="0.25">
      <c r="A1023" s="1" t="str">
        <f>"ADFIT LIMITED"</f>
        <v>ADFIT LIMITED</v>
      </c>
      <c r="B1023" t="str">
        <f>"10991778"</f>
        <v>10991778</v>
      </c>
      <c r="C1023" s="2" t="s">
        <v>86</v>
      </c>
      <c r="D1023" s="2" t="s">
        <v>49</v>
      </c>
      <c r="E1023" s="4">
        <v>45231</v>
      </c>
    </row>
    <row r="1024" spans="1:5" x14ac:dyDescent="0.25">
      <c r="A1024" s="1" t="str">
        <f>"AXACT 247 LIMITED"</f>
        <v>AXACT 247 LIMITED</v>
      </c>
      <c r="B1024" t="str">
        <f>"12394014"</f>
        <v>12394014</v>
      </c>
      <c r="C1024" s="2" t="s">
        <v>86</v>
      </c>
      <c r="D1024" s="2" t="s">
        <v>49</v>
      </c>
      <c r="E1024" s="4">
        <v>45231</v>
      </c>
    </row>
    <row r="1025" spans="1:5" x14ac:dyDescent="0.25">
      <c r="A1025" s="1" t="str">
        <f>"CHICK CHICKEN NEW CROSS LTD"</f>
        <v>CHICK CHICKEN NEW CROSS LTD</v>
      </c>
      <c r="B1025" t="str">
        <f>"11115159"</f>
        <v>11115159</v>
      </c>
      <c r="C1025" s="2" t="s">
        <v>86</v>
      </c>
      <c r="D1025" s="2" t="s">
        <v>49</v>
      </c>
      <c r="E1025" s="4">
        <v>45231</v>
      </c>
    </row>
    <row r="1026" spans="1:5" x14ac:dyDescent="0.25">
      <c r="A1026" s="1" t="str">
        <f>"AVHOLDINGS37 LTD"</f>
        <v>AVHOLDINGS37 LTD</v>
      </c>
      <c r="B1026" t="str">
        <f>"11902715"</f>
        <v>11902715</v>
      </c>
      <c r="C1026" s="2" t="s">
        <v>86</v>
      </c>
      <c r="D1026" s="2" t="s">
        <v>49</v>
      </c>
      <c r="E1026" s="4">
        <v>45231</v>
      </c>
    </row>
    <row r="1027" spans="1:5" x14ac:dyDescent="0.25">
      <c r="A1027" s="1" t="str">
        <f>"EXIMO PROLU LTD"</f>
        <v>EXIMO PROLU LTD</v>
      </c>
      <c r="B1027" t="str">
        <f>"12327041"</f>
        <v>12327041</v>
      </c>
      <c r="C1027" s="2" t="s">
        <v>86</v>
      </c>
      <c r="D1027" s="2" t="s">
        <v>49</v>
      </c>
      <c r="E1027" s="4">
        <v>45231</v>
      </c>
    </row>
    <row r="1028" spans="1:5" x14ac:dyDescent="0.25">
      <c r="A1028" s="1" t="str">
        <f>"UP A CREEK PLUMBING &amp; HEATING LTD"</f>
        <v>UP A CREEK PLUMBING &amp; HEATING LTD</v>
      </c>
      <c r="B1028" t="str">
        <f>"12328457"</f>
        <v>12328457</v>
      </c>
      <c r="C1028" s="2" t="s">
        <v>86</v>
      </c>
      <c r="D1028" s="2" t="s">
        <v>49</v>
      </c>
      <c r="E1028" s="4">
        <v>45231</v>
      </c>
    </row>
    <row r="1029" spans="1:5" x14ac:dyDescent="0.25">
      <c r="A1029" s="1" t="str">
        <f>"QCUT (TECHNOLOGIES) LIMITED"</f>
        <v>QCUT (TECHNOLOGIES) LIMITED</v>
      </c>
      <c r="B1029" t="str">
        <f>"12434342"</f>
        <v>12434342</v>
      </c>
      <c r="C1029" s="2" t="s">
        <v>86</v>
      </c>
      <c r="D1029" s="2" t="s">
        <v>49</v>
      </c>
      <c r="E1029" s="4">
        <v>45231</v>
      </c>
    </row>
    <row r="1030" spans="1:5" x14ac:dyDescent="0.25">
      <c r="A1030" s="1" t="str">
        <f>"SAY SOMETHING MUSIC LTD"</f>
        <v>SAY SOMETHING MUSIC LTD</v>
      </c>
      <c r="B1030" t="str">
        <f>"10213249"</f>
        <v>10213249</v>
      </c>
      <c r="C1030" s="2" t="s">
        <v>86</v>
      </c>
      <c r="D1030" s="2" t="s">
        <v>49</v>
      </c>
      <c r="E1030" s="4">
        <v>45231</v>
      </c>
    </row>
    <row r="1031" spans="1:5" x14ac:dyDescent="0.25">
      <c r="A1031" s="1" t="str">
        <f>"PONTE VELHA LTD"</f>
        <v>PONTE VELHA LTD</v>
      </c>
      <c r="B1031" t="str">
        <f>"10236586"</f>
        <v>10236586</v>
      </c>
      <c r="C1031" s="2" t="s">
        <v>86</v>
      </c>
      <c r="D1031" s="2" t="s">
        <v>49</v>
      </c>
      <c r="E1031" s="4">
        <v>45231</v>
      </c>
    </row>
    <row r="1032" spans="1:5" x14ac:dyDescent="0.25">
      <c r="A1032" s="1" t="str">
        <f>"TOTAL FRAMING LTD"</f>
        <v>TOTAL FRAMING LTD</v>
      </c>
      <c r="B1032" t="str">
        <f>"10422173"</f>
        <v>10422173</v>
      </c>
      <c r="C1032" s="2" t="s">
        <v>86</v>
      </c>
      <c r="D1032" s="2" t="s">
        <v>49</v>
      </c>
      <c r="E1032" s="4">
        <v>45231</v>
      </c>
    </row>
    <row r="1033" spans="1:5" x14ac:dyDescent="0.25">
      <c r="A1033" s="1" t="str">
        <f>"M HALL HOSPITALITY LIMITED"</f>
        <v>M HALL HOSPITALITY LIMITED</v>
      </c>
      <c r="B1033" t="str">
        <f>"10355971"</f>
        <v>10355971</v>
      </c>
      <c r="C1033" s="2" t="s">
        <v>86</v>
      </c>
      <c r="D1033" s="2" t="s">
        <v>49</v>
      </c>
      <c r="E1033" s="4">
        <v>45231</v>
      </c>
    </row>
    <row r="1034" spans="1:5" x14ac:dyDescent="0.25">
      <c r="A1034" s="1" t="str">
        <f>"VSU LTD"</f>
        <v>VSU LTD</v>
      </c>
      <c r="B1034" t="str">
        <f>"10422757"</f>
        <v>10422757</v>
      </c>
      <c r="C1034" s="2" t="s">
        <v>86</v>
      </c>
      <c r="D1034" s="2" t="s">
        <v>49</v>
      </c>
      <c r="E1034" s="4">
        <v>45238</v>
      </c>
    </row>
    <row r="1035" spans="1:5" x14ac:dyDescent="0.25">
      <c r="A1035" s="1" t="str">
        <f>"BAO AN ORIENTALS LTD"</f>
        <v>BAO AN ORIENTALS LTD</v>
      </c>
      <c r="B1035" t="str">
        <f>"10985285"</f>
        <v>10985285</v>
      </c>
      <c r="C1035" s="2" t="s">
        <v>86</v>
      </c>
      <c r="D1035" s="2" t="s">
        <v>49</v>
      </c>
      <c r="E1035" s="4">
        <v>45238</v>
      </c>
    </row>
    <row r="1036" spans="1:5" x14ac:dyDescent="0.25">
      <c r="A1036" s="1" t="str">
        <f>"EOL TRADING LTD"</f>
        <v>EOL TRADING LTD</v>
      </c>
      <c r="B1036" t="str">
        <f>"07907951"</f>
        <v>07907951</v>
      </c>
      <c r="C1036" s="2" t="s">
        <v>86</v>
      </c>
      <c r="D1036" s="2" t="s">
        <v>49</v>
      </c>
      <c r="E1036" s="4">
        <v>45238</v>
      </c>
    </row>
    <row r="1037" spans="1:5" x14ac:dyDescent="0.25">
      <c r="A1037" s="1" t="str">
        <f>"LONDON TIGERS SECURITY SERVICES LTD"</f>
        <v>LONDON TIGERS SECURITY SERVICES LTD</v>
      </c>
      <c r="B1037" t="str">
        <f>"10429091"</f>
        <v>10429091</v>
      </c>
      <c r="C1037" s="2" t="s">
        <v>86</v>
      </c>
      <c r="D1037" s="2" t="s">
        <v>49</v>
      </c>
      <c r="E1037" s="4">
        <v>45238</v>
      </c>
    </row>
    <row r="1038" spans="1:5" x14ac:dyDescent="0.25">
      <c r="A1038" s="1" t="str">
        <f>"M&amp;A BRUN LTD"</f>
        <v>M&amp;A BRUN LTD</v>
      </c>
      <c r="B1038" t="str">
        <f>"12045469"</f>
        <v>12045469</v>
      </c>
      <c r="C1038" s="2" t="s">
        <v>86</v>
      </c>
      <c r="D1038" s="2" t="s">
        <v>49</v>
      </c>
      <c r="E1038" s="4">
        <v>45238</v>
      </c>
    </row>
    <row r="1039" spans="1:5" x14ac:dyDescent="0.25">
      <c r="A1039" s="1" t="str">
        <f>"QUALTECH POWER LTD"</f>
        <v>QUALTECH POWER LTD</v>
      </c>
      <c r="B1039" t="str">
        <f>"11433422"</f>
        <v>11433422</v>
      </c>
      <c r="C1039" s="2" t="s">
        <v>86</v>
      </c>
      <c r="D1039" s="2" t="s">
        <v>49</v>
      </c>
      <c r="E1039" s="4">
        <v>45238</v>
      </c>
    </row>
    <row r="1040" spans="1:5" x14ac:dyDescent="0.25">
      <c r="A1040" s="1" t="str">
        <f>"BMS SOLUTIONS HOLDINGS LIMITED"</f>
        <v>BMS SOLUTIONS HOLDINGS LIMITED</v>
      </c>
      <c r="B1040" t="str">
        <f>"14496808"</f>
        <v>14496808</v>
      </c>
      <c r="C1040" s="2" t="s">
        <v>86</v>
      </c>
      <c r="D1040" s="2" t="s">
        <v>49</v>
      </c>
      <c r="E1040" s="4">
        <v>45238</v>
      </c>
    </row>
    <row r="1041" spans="1:5" x14ac:dyDescent="0.25">
      <c r="A1041" s="1" t="str">
        <f>"IMPORT DAO LIMITED"</f>
        <v>IMPORT DAO LIMITED</v>
      </c>
      <c r="B1041" t="str">
        <f>"10850222"</f>
        <v>10850222</v>
      </c>
      <c r="C1041" s="2" t="s">
        <v>86</v>
      </c>
      <c r="D1041" s="2" t="s">
        <v>49</v>
      </c>
      <c r="E1041" s="4">
        <v>45238</v>
      </c>
    </row>
    <row r="1042" spans="1:5" x14ac:dyDescent="0.25">
      <c r="A1042" s="1" t="str">
        <f>"ELEANOR MAY BEAUTY LIMITED"</f>
        <v>ELEANOR MAY BEAUTY LIMITED</v>
      </c>
      <c r="B1042" t="str">
        <f>"11838678"</f>
        <v>11838678</v>
      </c>
      <c r="C1042" s="2" t="s">
        <v>86</v>
      </c>
      <c r="D1042" s="2" t="s">
        <v>49</v>
      </c>
      <c r="E1042" s="4">
        <v>45238</v>
      </c>
    </row>
    <row r="1043" spans="1:5" x14ac:dyDescent="0.25">
      <c r="A1043" s="1" t="str">
        <f>"SHAKS FISH BAR LTD"</f>
        <v>SHAKS FISH BAR LTD</v>
      </c>
      <c r="B1043" t="str">
        <f>"12582199"</f>
        <v>12582199</v>
      </c>
      <c r="C1043" s="2" t="s">
        <v>86</v>
      </c>
      <c r="D1043" s="2" t="s">
        <v>49</v>
      </c>
      <c r="E1043" s="4">
        <v>45238</v>
      </c>
    </row>
    <row r="1044" spans="1:5" x14ac:dyDescent="0.25">
      <c r="A1044" s="1" t="str">
        <f>"AR SCHOOL LIMITED"</f>
        <v>AR SCHOOL LIMITED</v>
      </c>
      <c r="B1044" t="str">
        <f>"01243693"</f>
        <v>01243693</v>
      </c>
      <c r="C1044" s="2" t="s">
        <v>86</v>
      </c>
      <c r="D1044" s="2" t="s">
        <v>49</v>
      </c>
      <c r="E1044" s="4">
        <v>45238</v>
      </c>
    </row>
    <row r="1045" spans="1:5" x14ac:dyDescent="0.25">
      <c r="A1045" s="1" t="str">
        <f>"CRYSTAL PALACE MOTOR COMPANY LIMITED"</f>
        <v>CRYSTAL PALACE MOTOR COMPANY LIMITED</v>
      </c>
      <c r="B1045" t="str">
        <f>"12397215"</f>
        <v>12397215</v>
      </c>
      <c r="C1045" s="2" t="s">
        <v>86</v>
      </c>
      <c r="D1045" s="2" t="s">
        <v>49</v>
      </c>
      <c r="E1045" s="4">
        <v>45238</v>
      </c>
    </row>
    <row r="1046" spans="1:5" x14ac:dyDescent="0.25">
      <c r="A1046" s="1" t="str">
        <f>"AF STORIES LIMITED"</f>
        <v>AF STORIES LIMITED</v>
      </c>
      <c r="B1046" t="str">
        <f>"12182948"</f>
        <v>12182948</v>
      </c>
      <c r="C1046" s="2" t="s">
        <v>86</v>
      </c>
      <c r="D1046" s="2" t="s">
        <v>49</v>
      </c>
      <c r="E1046" s="4">
        <v>45245</v>
      </c>
    </row>
    <row r="1047" spans="1:5" x14ac:dyDescent="0.25">
      <c r="A1047" s="1" t="str">
        <f>"A J FROZEN FOOD LTD"</f>
        <v>A J FROZEN FOOD LTD</v>
      </c>
      <c r="B1047" t="str">
        <f>"07929435"</f>
        <v>07929435</v>
      </c>
      <c r="C1047" s="2" t="s">
        <v>86</v>
      </c>
      <c r="D1047" s="2" t="s">
        <v>49</v>
      </c>
      <c r="E1047" s="4">
        <v>45245</v>
      </c>
    </row>
    <row r="1048" spans="1:5" x14ac:dyDescent="0.25">
      <c r="A1048" s="1" t="str">
        <f>"CARDIFF PRESTIGE LTD"</f>
        <v>CARDIFF PRESTIGE LTD</v>
      </c>
      <c r="B1048" t="str">
        <f>"11125535"</f>
        <v>11125535</v>
      </c>
      <c r="C1048" s="2" t="s">
        <v>86</v>
      </c>
      <c r="D1048" s="2" t="s">
        <v>49</v>
      </c>
      <c r="E1048" s="4">
        <v>45245</v>
      </c>
    </row>
    <row r="1049" spans="1:5" x14ac:dyDescent="0.25">
      <c r="A1049" s="1" t="str">
        <f>"CLEAN PEAKS LTD"</f>
        <v>CLEAN PEAKS LTD</v>
      </c>
      <c r="B1049" t="str">
        <f>"12138802"</f>
        <v>12138802</v>
      </c>
      <c r="C1049" s="2" t="s">
        <v>86</v>
      </c>
      <c r="D1049" s="2" t="s">
        <v>49</v>
      </c>
      <c r="E1049" s="4">
        <v>45245</v>
      </c>
    </row>
    <row r="1050" spans="1:5" x14ac:dyDescent="0.25">
      <c r="A1050" s="1" t="str">
        <f>"KIBODYA ANNEX LIMITED"</f>
        <v>KIBODYA ANNEX LIMITED</v>
      </c>
      <c r="B1050" t="str">
        <f>"12066217"</f>
        <v>12066217</v>
      </c>
      <c r="C1050" s="2" t="s">
        <v>86</v>
      </c>
      <c r="D1050" s="2" t="s">
        <v>49</v>
      </c>
      <c r="E1050" s="4">
        <v>45245</v>
      </c>
    </row>
    <row r="1051" spans="1:5" x14ac:dyDescent="0.25">
      <c r="A1051" s="1" t="str">
        <f>"SPICE INVADERS TAMWORTH LIMITED"</f>
        <v>SPICE INVADERS TAMWORTH LIMITED</v>
      </c>
      <c r="B1051" t="str">
        <f>"09430847"</f>
        <v>09430847</v>
      </c>
      <c r="C1051" s="2" t="s">
        <v>86</v>
      </c>
      <c r="D1051" s="2" t="s">
        <v>49</v>
      </c>
      <c r="E1051" s="4">
        <v>45245</v>
      </c>
    </row>
    <row r="1052" spans="1:5" x14ac:dyDescent="0.25">
      <c r="A1052" s="1" t="str">
        <f>"THAI BORAN STREET FOOD LIMITED"</f>
        <v>THAI BORAN STREET FOOD LIMITED</v>
      </c>
      <c r="B1052" t="str">
        <f>"11231411"</f>
        <v>11231411</v>
      </c>
      <c r="C1052" s="2" t="s">
        <v>86</v>
      </c>
      <c r="D1052" s="2" t="s">
        <v>49</v>
      </c>
      <c r="E1052" s="4">
        <v>45245</v>
      </c>
    </row>
    <row r="1053" spans="1:5" x14ac:dyDescent="0.25">
      <c r="A1053" s="1" t="str">
        <f>"GRILLZILLA GRILL LIMITED"</f>
        <v>GRILLZILLA GRILL LIMITED</v>
      </c>
      <c r="B1053" t="str">
        <f>"11109858"</f>
        <v>11109858</v>
      </c>
      <c r="C1053" s="2" t="s">
        <v>86</v>
      </c>
      <c r="D1053" s="2" t="s">
        <v>49</v>
      </c>
      <c r="E1053" s="4">
        <v>45245</v>
      </c>
    </row>
    <row r="1054" spans="1:5" x14ac:dyDescent="0.25">
      <c r="A1054" s="1" t="s">
        <v>844</v>
      </c>
      <c r="B1054">
        <v>7821969</v>
      </c>
      <c r="C1054" s="2" t="s">
        <v>86</v>
      </c>
      <c r="D1054" s="2" t="s">
        <v>49</v>
      </c>
      <c r="E1054" s="4">
        <v>45252</v>
      </c>
    </row>
    <row r="1055" spans="1:5" x14ac:dyDescent="0.25">
      <c r="A1055" s="1" t="str">
        <f>"EXALT INTERNATIONAL LTD"</f>
        <v>EXALT INTERNATIONAL LTD</v>
      </c>
      <c r="B1055" t="str">
        <f>"11923229"</f>
        <v>11923229</v>
      </c>
      <c r="C1055" s="2" t="s">
        <v>86</v>
      </c>
      <c r="D1055" s="2" t="s">
        <v>49</v>
      </c>
      <c r="E1055" s="4">
        <v>45252</v>
      </c>
    </row>
    <row r="1056" spans="1:5" x14ac:dyDescent="0.25">
      <c r="A1056" s="1" t="str">
        <f>"GLOBAL MARKETING AND COMMUNICATION SERVICES LTD"</f>
        <v>GLOBAL MARKETING AND COMMUNICATION SERVICES LTD</v>
      </c>
      <c r="B1056" t="str">
        <f>"12055552"</f>
        <v>12055552</v>
      </c>
      <c r="C1056" s="2" t="s">
        <v>86</v>
      </c>
      <c r="D1056" s="2" t="s">
        <v>49</v>
      </c>
      <c r="E1056" s="4">
        <v>45252</v>
      </c>
    </row>
    <row r="1057" spans="1:5" x14ac:dyDescent="0.25">
      <c r="A1057" s="1" t="str">
        <f>"REDBRIDGE CARPETS LTD"</f>
        <v>REDBRIDGE CARPETS LTD</v>
      </c>
      <c r="B1057" t="str">
        <f>"10654742"</f>
        <v>10654742</v>
      </c>
      <c r="C1057" s="2" t="s">
        <v>86</v>
      </c>
      <c r="D1057" s="2" t="s">
        <v>49</v>
      </c>
      <c r="E1057" s="4">
        <v>45252</v>
      </c>
    </row>
    <row r="1058" spans="1:5" x14ac:dyDescent="0.25">
      <c r="A1058" s="1" t="str">
        <f>"SECURICOMMS LIMITED"</f>
        <v>SECURICOMMS LIMITED</v>
      </c>
      <c r="B1058" t="str">
        <f>"07899196"</f>
        <v>07899196</v>
      </c>
      <c r="C1058" s="2" t="s">
        <v>86</v>
      </c>
      <c r="D1058" s="2" t="s">
        <v>49</v>
      </c>
      <c r="E1058" s="4">
        <v>45252</v>
      </c>
    </row>
    <row r="1059" spans="1:5" x14ac:dyDescent="0.25">
      <c r="A1059" s="1" t="str">
        <f>"SOUTH LONDON HAIR SERVICES LIMITED"</f>
        <v>SOUTH LONDON HAIR SERVICES LIMITED</v>
      </c>
      <c r="B1059" t="str">
        <f>"11992626"</f>
        <v>11992626</v>
      </c>
      <c r="C1059" s="2" t="s">
        <v>86</v>
      </c>
      <c r="D1059" s="2" t="s">
        <v>49</v>
      </c>
      <c r="E1059" s="4">
        <v>45252</v>
      </c>
    </row>
    <row r="1060" spans="1:5" x14ac:dyDescent="0.25">
      <c r="A1060" s="1" t="str">
        <f>"JASMINE TECHNOLOGIES LTD"</f>
        <v>JASMINE TECHNOLOGIES LTD</v>
      </c>
      <c r="B1060" t="str">
        <f>"08838303"</f>
        <v>08838303</v>
      </c>
      <c r="C1060" s="2" t="s">
        <v>86</v>
      </c>
      <c r="D1060" s="2" t="s">
        <v>49</v>
      </c>
      <c r="E1060" s="4">
        <v>45252</v>
      </c>
    </row>
    <row r="1061" spans="1:5" x14ac:dyDescent="0.25">
      <c r="A1061" s="1" t="str">
        <f>"NOVA ADMIN BUSINESS SUPPORT LTD"</f>
        <v>NOVA ADMIN BUSINESS SUPPORT LTD</v>
      </c>
      <c r="B1061" t="str">
        <f>"12261396"</f>
        <v>12261396</v>
      </c>
      <c r="C1061" s="2" t="s">
        <v>86</v>
      </c>
      <c r="D1061" s="2" t="s">
        <v>49</v>
      </c>
      <c r="E1061" s="4">
        <v>45252</v>
      </c>
    </row>
    <row r="1062" spans="1:5" x14ac:dyDescent="0.25">
      <c r="A1062" s="1" t="str">
        <f>"PL SAFE MANAGEMENT SOLUTIONS LIMITED"</f>
        <v>PL SAFE MANAGEMENT SOLUTIONS LIMITED</v>
      </c>
      <c r="B1062" t="str">
        <f>"08747468"</f>
        <v>08747468</v>
      </c>
      <c r="C1062" s="2" t="s">
        <v>86</v>
      </c>
      <c r="D1062" s="2" t="s">
        <v>49</v>
      </c>
      <c r="E1062" s="4">
        <v>45252</v>
      </c>
    </row>
    <row r="1063" spans="1:5" x14ac:dyDescent="0.25">
      <c r="A1063" s="1" t="s">
        <v>852</v>
      </c>
      <c r="B1063">
        <v>9275524</v>
      </c>
      <c r="C1063" s="2" t="s">
        <v>86</v>
      </c>
      <c r="D1063" s="2" t="s">
        <v>49</v>
      </c>
      <c r="E1063" s="4">
        <v>45252</v>
      </c>
    </row>
    <row r="1064" spans="1:5" x14ac:dyDescent="0.25">
      <c r="A1064" s="1" t="str">
        <f>"SHOWSHOPPA LTD"</f>
        <v>SHOWSHOPPA LTD</v>
      </c>
      <c r="B1064" t="str">
        <f>"10589061"</f>
        <v>10589061</v>
      </c>
      <c r="C1064" s="2" t="s">
        <v>86</v>
      </c>
      <c r="D1064" s="2" t="s">
        <v>49</v>
      </c>
      <c r="E1064" s="4">
        <v>45252</v>
      </c>
    </row>
    <row r="1065" spans="1:5" x14ac:dyDescent="0.25">
      <c r="A1065" s="1" t="s">
        <v>847</v>
      </c>
      <c r="B1065">
        <v>6320042</v>
      </c>
      <c r="C1065" s="2" t="s">
        <v>86</v>
      </c>
      <c r="D1065" s="2" t="s">
        <v>49</v>
      </c>
      <c r="E1065" s="4">
        <v>45252</v>
      </c>
    </row>
    <row r="1066" spans="1:5" x14ac:dyDescent="0.25">
      <c r="A1066" s="1" t="str">
        <f>"GARMSTON PROFESSIONAL LTD"</f>
        <v>GARMSTON PROFESSIONAL LTD</v>
      </c>
      <c r="B1066" t="str">
        <f>"09548958"</f>
        <v>09548958</v>
      </c>
      <c r="C1066" s="2" t="s">
        <v>86</v>
      </c>
      <c r="D1066" s="2" t="s">
        <v>49</v>
      </c>
      <c r="E1066" s="4">
        <v>45252</v>
      </c>
    </row>
    <row r="1067" spans="1:5" x14ac:dyDescent="0.25">
      <c r="A1067" s="1" t="str">
        <f>"SOPHIA CARGO LIMITED"</f>
        <v>SOPHIA CARGO LIMITED</v>
      </c>
      <c r="B1067" t="str">
        <f>"07787406"</f>
        <v>07787406</v>
      </c>
      <c r="C1067" s="2" t="s">
        <v>86</v>
      </c>
      <c r="D1067" s="2" t="s">
        <v>49</v>
      </c>
      <c r="E1067" s="4">
        <v>45252</v>
      </c>
    </row>
    <row r="1068" spans="1:5" x14ac:dyDescent="0.25">
      <c r="A1068" s="1" t="str">
        <f>"CLARITY HOMES LIMITED"</f>
        <v>CLARITY HOMES LIMITED</v>
      </c>
      <c r="B1068" t="str">
        <f>"06847406"</f>
        <v>06847406</v>
      </c>
      <c r="C1068" s="2" t="s">
        <v>24</v>
      </c>
      <c r="D1068" s="2" t="s">
        <v>25</v>
      </c>
      <c r="E1068" s="4">
        <v>45229</v>
      </c>
    </row>
    <row r="1069" spans="1:5" x14ac:dyDescent="0.25">
      <c r="A1069" s="1" t="str">
        <f>"JOCELINE LTD"</f>
        <v>JOCELINE LTD</v>
      </c>
      <c r="B1069" t="str">
        <f>"11519337"</f>
        <v>11519337</v>
      </c>
      <c r="C1069" s="2" t="s">
        <v>338</v>
      </c>
      <c r="D1069" s="2" t="s">
        <v>105</v>
      </c>
      <c r="E1069" s="4">
        <v>45233</v>
      </c>
    </row>
    <row r="1070" spans="1:5" x14ac:dyDescent="0.25">
      <c r="A1070" s="1" t="str">
        <f>"F.G.H.PRODUCTS LIMITED"</f>
        <v>F.G.H.PRODUCTS LIMITED</v>
      </c>
      <c r="B1070" t="str">
        <f>"00787921"</f>
        <v>00787921</v>
      </c>
      <c r="C1070" s="2" t="s">
        <v>64</v>
      </c>
      <c r="D1070" s="2" t="s">
        <v>11</v>
      </c>
      <c r="E1070" s="4">
        <v>45246</v>
      </c>
    </row>
    <row r="1071" spans="1:5" x14ac:dyDescent="0.25">
      <c r="A1071" s="1" t="s">
        <v>774</v>
      </c>
      <c r="B1071" t="s">
        <v>775</v>
      </c>
      <c r="C1071" s="2" t="s">
        <v>64</v>
      </c>
      <c r="D1071" s="2" t="s">
        <v>11</v>
      </c>
      <c r="E1071" s="4">
        <v>45246</v>
      </c>
    </row>
    <row r="1072" spans="1:5" x14ac:dyDescent="0.25">
      <c r="A1072" s="1" t="str">
        <f>"EARLY VENTURES LIMITED"</f>
        <v>EARLY VENTURES LIMITED</v>
      </c>
      <c r="B1072" t="str">
        <f>"04524401"</f>
        <v>04524401</v>
      </c>
      <c r="C1072" s="2" t="s">
        <v>64</v>
      </c>
      <c r="D1072" s="2" t="s">
        <v>11</v>
      </c>
      <c r="E1072" s="4">
        <v>45257</v>
      </c>
    </row>
    <row r="1073" spans="1:5" x14ac:dyDescent="0.25">
      <c r="A1073" s="1" t="s">
        <v>427</v>
      </c>
      <c r="B1073">
        <v>2266590</v>
      </c>
      <c r="C1073" s="2" t="s">
        <v>64</v>
      </c>
      <c r="D1073" s="2" t="s">
        <v>17</v>
      </c>
      <c r="E1073" s="4">
        <v>45225</v>
      </c>
    </row>
    <row r="1074" spans="1:5" x14ac:dyDescent="0.25">
      <c r="A1074" s="1" t="s">
        <v>566</v>
      </c>
      <c r="B1074">
        <v>6679832</v>
      </c>
      <c r="C1074" s="2" t="s">
        <v>64</v>
      </c>
      <c r="D1074" s="2" t="s">
        <v>17</v>
      </c>
      <c r="E1074" s="4">
        <v>45229</v>
      </c>
    </row>
    <row r="1075" spans="1:5" x14ac:dyDescent="0.25">
      <c r="A1075" s="1" t="str">
        <f>"MAGNACARTA COMMUNICATIONS LTD"</f>
        <v>MAGNACARTA COMMUNICATIONS LTD</v>
      </c>
      <c r="B1075" t="str">
        <f>"05322530"</f>
        <v>05322530</v>
      </c>
      <c r="C1075" s="2" t="s">
        <v>64</v>
      </c>
      <c r="D1075" s="2" t="s">
        <v>17</v>
      </c>
      <c r="E1075" s="4">
        <v>45230</v>
      </c>
    </row>
    <row r="1076" spans="1:5" x14ac:dyDescent="0.25">
      <c r="A1076" s="1" t="str">
        <f>"AUSTEN'S HAIR LIMITED"</f>
        <v>AUSTEN'S HAIR LIMITED</v>
      </c>
      <c r="B1076" t="str">
        <f>"10932105"</f>
        <v>10932105</v>
      </c>
      <c r="C1076" s="2" t="s">
        <v>64</v>
      </c>
      <c r="D1076" s="2" t="s">
        <v>17</v>
      </c>
      <c r="E1076" s="4">
        <v>45232</v>
      </c>
    </row>
    <row r="1077" spans="1:5" x14ac:dyDescent="0.25">
      <c r="A1077" s="1" t="str">
        <f>"109 CR LTD"</f>
        <v>109 CR LTD</v>
      </c>
      <c r="B1077" t="str">
        <f>"12109527"</f>
        <v>12109527</v>
      </c>
      <c r="C1077" s="2" t="s">
        <v>64</v>
      </c>
      <c r="D1077" s="2" t="s">
        <v>17</v>
      </c>
      <c r="E1077" s="4">
        <v>45232</v>
      </c>
    </row>
    <row r="1078" spans="1:5" x14ac:dyDescent="0.25">
      <c r="A1078" s="1" t="str">
        <f>"S PHILLIPS WINDOW CLEANING COMPANY LIMITED"</f>
        <v>S PHILLIPS WINDOW CLEANING COMPANY LIMITED</v>
      </c>
      <c r="B1078" t="str">
        <f>"08979834"</f>
        <v>08979834</v>
      </c>
      <c r="C1078" s="2" t="s">
        <v>64</v>
      </c>
      <c r="D1078" s="2" t="s">
        <v>17</v>
      </c>
      <c r="E1078" s="4">
        <v>45237</v>
      </c>
    </row>
    <row r="1079" spans="1:5" x14ac:dyDescent="0.25">
      <c r="A1079" s="1" t="str">
        <f>"DREAMBOX LIMITED"</f>
        <v>DREAMBOX LIMITED</v>
      </c>
      <c r="B1079" t="str">
        <f>"05370032"</f>
        <v>05370032</v>
      </c>
      <c r="C1079" s="2" t="s">
        <v>64</v>
      </c>
      <c r="D1079" s="2" t="s">
        <v>17</v>
      </c>
      <c r="E1079" s="4">
        <v>45239</v>
      </c>
    </row>
    <row r="1080" spans="1:5" x14ac:dyDescent="0.25">
      <c r="A1080" s="1" t="str">
        <f>"SLTFM LTD"</f>
        <v>SLTFM LTD</v>
      </c>
      <c r="B1080" t="str">
        <f>"11880969"</f>
        <v>11880969</v>
      </c>
      <c r="C1080" s="2" t="s">
        <v>64</v>
      </c>
      <c r="D1080" s="2" t="s">
        <v>17</v>
      </c>
      <c r="E1080" s="4">
        <v>45239</v>
      </c>
    </row>
    <row r="1081" spans="1:5" x14ac:dyDescent="0.25">
      <c r="A1081" s="1" t="str">
        <f>"SCOTT RICE LTD"</f>
        <v>SCOTT RICE LTD</v>
      </c>
      <c r="B1081" t="str">
        <f>"09097832"</f>
        <v>09097832</v>
      </c>
      <c r="C1081" s="2" t="s">
        <v>64</v>
      </c>
      <c r="D1081" s="2" t="s">
        <v>17</v>
      </c>
      <c r="E1081" s="4">
        <v>45247</v>
      </c>
    </row>
    <row r="1082" spans="1:5" x14ac:dyDescent="0.25">
      <c r="A1082" s="1" t="str">
        <f>"HEAVY DUTY SURPLUS LIMITED"</f>
        <v>HEAVY DUTY SURPLUS LIMITED</v>
      </c>
      <c r="B1082" t="str">
        <f>"12390863"</f>
        <v>12390863</v>
      </c>
      <c r="C1082" s="2" t="s">
        <v>64</v>
      </c>
      <c r="D1082" s="2" t="s">
        <v>17</v>
      </c>
      <c r="E1082" s="4">
        <v>45252</v>
      </c>
    </row>
    <row r="1083" spans="1:5" x14ac:dyDescent="0.25">
      <c r="A1083" s="1" t="str">
        <f>"PIRATE BAY SKIPTON LIMITED"</f>
        <v>PIRATE BAY SKIPTON LIMITED</v>
      </c>
      <c r="B1083" t="str">
        <f>"11682952"</f>
        <v>11682952</v>
      </c>
      <c r="C1083" s="2" t="s">
        <v>64</v>
      </c>
      <c r="D1083" s="2" t="s">
        <v>593</v>
      </c>
      <c r="E1083" s="4">
        <v>45232</v>
      </c>
    </row>
    <row r="1084" spans="1:5" x14ac:dyDescent="0.25">
      <c r="A1084" s="1" t="str">
        <f>"A D METAL SPINNING (HALIFAX) LIMITED"</f>
        <v>A D METAL SPINNING (HALIFAX) LIMITED</v>
      </c>
      <c r="B1084" t="str">
        <f>"05082998"</f>
        <v>05082998</v>
      </c>
      <c r="C1084" s="2" t="s">
        <v>64</v>
      </c>
      <c r="D1084" s="2" t="s">
        <v>34</v>
      </c>
      <c r="E1084" s="4">
        <v>45232</v>
      </c>
    </row>
    <row r="1085" spans="1:5" x14ac:dyDescent="0.25">
      <c r="A1085" s="1" t="str">
        <f>"IGNEOUS SOLUTIONS LTD"</f>
        <v>IGNEOUS SOLUTIONS LTD</v>
      </c>
      <c r="B1085" t="str">
        <f>"13019815"</f>
        <v>13019815</v>
      </c>
      <c r="C1085" s="2" t="s">
        <v>64</v>
      </c>
      <c r="D1085" s="2" t="s">
        <v>34</v>
      </c>
      <c r="E1085" s="4">
        <v>45236</v>
      </c>
    </row>
    <row r="1086" spans="1:5" x14ac:dyDescent="0.25">
      <c r="A1086" s="1" t="str">
        <f>"HILCLARE LIMITED"</f>
        <v>HILCLARE LIMITED</v>
      </c>
      <c r="B1086" t="str">
        <f>"09101549"</f>
        <v>09101549</v>
      </c>
      <c r="C1086" s="2" t="s">
        <v>64</v>
      </c>
      <c r="D1086" s="2" t="s">
        <v>34</v>
      </c>
      <c r="E1086" s="4">
        <v>45243</v>
      </c>
    </row>
    <row r="1087" spans="1:5" x14ac:dyDescent="0.25">
      <c r="A1087" s="1" t="s">
        <v>471</v>
      </c>
      <c r="B1087">
        <v>10768948</v>
      </c>
      <c r="C1087" s="2" t="s">
        <v>64</v>
      </c>
      <c r="D1087" s="2" t="s">
        <v>65</v>
      </c>
      <c r="E1087" s="4">
        <v>45226</v>
      </c>
    </row>
    <row r="1088" spans="1:5" x14ac:dyDescent="0.25">
      <c r="A1088" s="1" t="s">
        <v>576</v>
      </c>
      <c r="B1088">
        <v>7456331</v>
      </c>
      <c r="C1088" s="2" t="s">
        <v>64</v>
      </c>
      <c r="D1088" s="2" t="s">
        <v>65</v>
      </c>
      <c r="E1088" s="4">
        <v>45230</v>
      </c>
    </row>
    <row r="1089" spans="1:5" x14ac:dyDescent="0.25">
      <c r="A1089" s="1" t="str">
        <f>"LAH ENGINEERING LIMITED"</f>
        <v>LAH ENGINEERING LIMITED</v>
      </c>
      <c r="B1089" t="str">
        <f>"10535261"</f>
        <v>10535261</v>
      </c>
      <c r="C1089" s="2" t="s">
        <v>64</v>
      </c>
      <c r="D1089" s="2" t="s">
        <v>65</v>
      </c>
      <c r="E1089" s="4">
        <v>45245</v>
      </c>
    </row>
    <row r="1090" spans="1:5" x14ac:dyDescent="0.25">
      <c r="A1090" s="1" t="s">
        <v>644</v>
      </c>
      <c r="B1090">
        <v>11266451</v>
      </c>
      <c r="C1090" s="2" t="s">
        <v>64</v>
      </c>
      <c r="D1090" s="2" t="s">
        <v>65</v>
      </c>
      <c r="E1090" s="4">
        <v>45247</v>
      </c>
    </row>
    <row r="1091" spans="1:5" x14ac:dyDescent="0.25">
      <c r="A1091" s="1" t="str">
        <f>"THE EDGE LINEN CO LTD"</f>
        <v>THE EDGE LINEN CO LTD</v>
      </c>
      <c r="B1091" t="str">
        <f>"11263800"</f>
        <v>11263800</v>
      </c>
      <c r="C1091" s="2" t="s">
        <v>64</v>
      </c>
      <c r="D1091" s="2" t="s">
        <v>65</v>
      </c>
      <c r="E1091" s="4">
        <v>45251</v>
      </c>
    </row>
    <row r="1092" spans="1:5" x14ac:dyDescent="0.25">
      <c r="A1092" s="1" t="str">
        <f>"ENFYS ENGINEERING LIMITED"</f>
        <v>ENFYS ENGINEERING LIMITED</v>
      </c>
      <c r="B1092" t="str">
        <f>"08445451"</f>
        <v>08445451</v>
      </c>
      <c r="C1092" s="2" t="s">
        <v>64</v>
      </c>
      <c r="D1092" s="2" t="s">
        <v>65</v>
      </c>
      <c r="E1092" s="4">
        <v>45253</v>
      </c>
    </row>
    <row r="1093" spans="1:5" x14ac:dyDescent="0.25">
      <c r="A1093" s="1" t="str">
        <f>"MEERCAT BOATS LIMITED"</f>
        <v>MEERCAT BOATS LIMITED</v>
      </c>
      <c r="B1093" t="str">
        <f>"11039128"</f>
        <v>11039128</v>
      </c>
      <c r="C1093" s="2" t="s">
        <v>64</v>
      </c>
      <c r="D1093" s="2" t="s">
        <v>7</v>
      </c>
      <c r="E1093" s="4">
        <v>45236</v>
      </c>
    </row>
    <row r="1094" spans="1:5" x14ac:dyDescent="0.25">
      <c r="A1094" s="1" t="str">
        <f>"ZOOM FULFILMENT SERVICES LIMITED"</f>
        <v>ZOOM FULFILMENT SERVICES LIMITED</v>
      </c>
      <c r="B1094" t="str">
        <f>"05585269"</f>
        <v>05585269</v>
      </c>
      <c r="C1094" s="2" t="s">
        <v>64</v>
      </c>
      <c r="D1094" s="2" t="s">
        <v>7</v>
      </c>
      <c r="E1094" s="4">
        <v>45239</v>
      </c>
    </row>
    <row r="1095" spans="1:5" x14ac:dyDescent="0.25">
      <c r="A1095" s="1" t="str">
        <f>"BOOKMARCUS LIMITED"</f>
        <v>BOOKMARCUS LIMITED</v>
      </c>
      <c r="B1095" t="str">
        <f>"03946283"</f>
        <v>03946283</v>
      </c>
      <c r="C1095" s="2" t="s">
        <v>64</v>
      </c>
      <c r="D1095" s="2" t="s">
        <v>7</v>
      </c>
      <c r="E1095" s="4">
        <v>45243</v>
      </c>
    </row>
    <row r="1096" spans="1:5" x14ac:dyDescent="0.25">
      <c r="A1096" s="1" t="str">
        <f>"THE UNIQUE LIVING PARTNERSHIP LIMITED"</f>
        <v>THE UNIQUE LIVING PARTNERSHIP LIMITED</v>
      </c>
      <c r="B1096" t="str">
        <f>"04430624"</f>
        <v>04430624</v>
      </c>
      <c r="C1096" s="2" t="s">
        <v>64</v>
      </c>
      <c r="D1096" s="2" t="s">
        <v>7</v>
      </c>
      <c r="E1096" s="4">
        <v>45243</v>
      </c>
    </row>
    <row r="1097" spans="1:5" x14ac:dyDescent="0.25">
      <c r="A1097" s="1" t="s">
        <v>417</v>
      </c>
      <c r="B1097">
        <v>11359411</v>
      </c>
      <c r="C1097" s="2" t="s">
        <v>64</v>
      </c>
      <c r="D1097" s="2" t="s">
        <v>26</v>
      </c>
      <c r="E1097" s="4">
        <v>45224</v>
      </c>
    </row>
    <row r="1098" spans="1:5" x14ac:dyDescent="0.25">
      <c r="A1098" s="1" t="s">
        <v>437</v>
      </c>
      <c r="B1098">
        <v>10473066</v>
      </c>
      <c r="C1098" s="2" t="s">
        <v>64</v>
      </c>
      <c r="D1098" s="2" t="s">
        <v>26</v>
      </c>
      <c r="E1098" s="4">
        <v>45225</v>
      </c>
    </row>
    <row r="1099" spans="1:5" x14ac:dyDescent="0.25">
      <c r="A1099" s="1" t="s">
        <v>419</v>
      </c>
      <c r="B1099">
        <v>8677211</v>
      </c>
      <c r="C1099" s="2" t="s">
        <v>64</v>
      </c>
      <c r="D1099" s="2" t="s">
        <v>26</v>
      </c>
      <c r="E1099" s="4">
        <v>45225</v>
      </c>
    </row>
    <row r="1100" spans="1:5" x14ac:dyDescent="0.25">
      <c r="A1100" s="1" t="s">
        <v>476</v>
      </c>
      <c r="B1100">
        <v>11415890</v>
      </c>
      <c r="C1100" s="2" t="s">
        <v>64</v>
      </c>
      <c r="D1100" s="2" t="s">
        <v>26</v>
      </c>
      <c r="E1100" s="4">
        <v>45229</v>
      </c>
    </row>
    <row r="1101" spans="1:5" x14ac:dyDescent="0.25">
      <c r="A1101" s="1" t="s">
        <v>570</v>
      </c>
      <c r="B1101">
        <v>10212723</v>
      </c>
      <c r="C1101" s="2" t="s">
        <v>64</v>
      </c>
      <c r="D1101" s="2" t="s">
        <v>26</v>
      </c>
      <c r="E1101" s="4">
        <v>45229</v>
      </c>
    </row>
    <row r="1102" spans="1:5" x14ac:dyDescent="0.25">
      <c r="A1102" s="1" t="s">
        <v>541</v>
      </c>
      <c r="B1102">
        <v>12066874</v>
      </c>
      <c r="C1102" s="2" t="s">
        <v>64</v>
      </c>
      <c r="D1102" s="2" t="s">
        <v>26</v>
      </c>
      <c r="E1102" s="4">
        <v>45230</v>
      </c>
    </row>
    <row r="1103" spans="1:5" x14ac:dyDescent="0.25">
      <c r="A1103" s="1" t="str">
        <f>"BLUE BISTRO LTD"</f>
        <v>BLUE BISTRO LTD</v>
      </c>
      <c r="B1103" t="str">
        <f>"12045608"</f>
        <v>12045608</v>
      </c>
      <c r="C1103" s="2" t="s">
        <v>64</v>
      </c>
      <c r="D1103" s="2" t="s">
        <v>26</v>
      </c>
      <c r="E1103" s="4">
        <v>45231</v>
      </c>
    </row>
    <row r="1104" spans="1:5" x14ac:dyDescent="0.25">
      <c r="A1104" s="1" t="str">
        <f>"DPR TRANSPORT LIMITED"</f>
        <v>DPR TRANSPORT LIMITED</v>
      </c>
      <c r="B1104" t="str">
        <f>"04887277"</f>
        <v>04887277</v>
      </c>
      <c r="C1104" s="2" t="s">
        <v>64</v>
      </c>
      <c r="D1104" s="2" t="s">
        <v>26</v>
      </c>
      <c r="E1104" s="4">
        <v>45232</v>
      </c>
    </row>
    <row r="1105" spans="1:5" x14ac:dyDescent="0.25">
      <c r="A1105" s="1" t="str">
        <f>"ANCELL FAMILY LIMITED"</f>
        <v>ANCELL FAMILY LIMITED</v>
      </c>
      <c r="B1105" t="str">
        <f>"09095124"</f>
        <v>09095124</v>
      </c>
      <c r="C1105" s="2" t="s">
        <v>64</v>
      </c>
      <c r="D1105" s="2" t="s">
        <v>26</v>
      </c>
      <c r="E1105" s="4">
        <v>45232</v>
      </c>
    </row>
    <row r="1106" spans="1:5" x14ac:dyDescent="0.25">
      <c r="A1106" s="1" t="str">
        <f>"CITY CABS (PVT) CHELMSFORD LIMITED"</f>
        <v>CITY CABS (PVT) CHELMSFORD LIMITED</v>
      </c>
      <c r="B1106" t="str">
        <f>"08521563"</f>
        <v>08521563</v>
      </c>
      <c r="C1106" s="2" t="s">
        <v>64</v>
      </c>
      <c r="D1106" s="2" t="s">
        <v>26</v>
      </c>
      <c r="E1106" s="4">
        <v>45232</v>
      </c>
    </row>
    <row r="1107" spans="1:5" x14ac:dyDescent="0.25">
      <c r="A1107" s="1" t="str">
        <f>"MARCEL FOR ART LTD"</f>
        <v>MARCEL FOR ART LTD</v>
      </c>
      <c r="B1107" t="str">
        <f>"11440670"</f>
        <v>11440670</v>
      </c>
      <c r="C1107" s="2" t="s">
        <v>64</v>
      </c>
      <c r="D1107" s="2" t="s">
        <v>26</v>
      </c>
      <c r="E1107" s="4">
        <v>45236</v>
      </c>
    </row>
    <row r="1108" spans="1:5" x14ac:dyDescent="0.25">
      <c r="A1108" s="1" t="str">
        <f>"SSOH LIMITED"</f>
        <v>SSOH LIMITED</v>
      </c>
      <c r="B1108" t="str">
        <f>"12036659"</f>
        <v>12036659</v>
      </c>
      <c r="C1108" s="2" t="s">
        <v>64</v>
      </c>
      <c r="D1108" s="2" t="s">
        <v>26</v>
      </c>
      <c r="E1108" s="4">
        <v>45237</v>
      </c>
    </row>
    <row r="1109" spans="1:5" x14ac:dyDescent="0.25">
      <c r="A1109" s="1" t="str">
        <f>"BIRCHWOOD PROPERTY DEVELOPMENT LIMITED"</f>
        <v>BIRCHWOOD PROPERTY DEVELOPMENT LIMITED</v>
      </c>
      <c r="B1109" t="str">
        <f>"08858517"</f>
        <v>08858517</v>
      </c>
      <c r="C1109" s="2" t="s">
        <v>64</v>
      </c>
      <c r="D1109" s="2" t="s">
        <v>26</v>
      </c>
      <c r="E1109" s="4">
        <v>45238</v>
      </c>
    </row>
    <row r="1110" spans="1:5" x14ac:dyDescent="0.25">
      <c r="A1110" s="1" t="str">
        <f>"BIKEZAAR LIMITED"</f>
        <v>BIKEZAAR LIMITED</v>
      </c>
      <c r="B1110" t="str">
        <f>"10620630"</f>
        <v>10620630</v>
      </c>
      <c r="C1110" s="2" t="s">
        <v>64</v>
      </c>
      <c r="D1110" s="2" t="s">
        <v>26</v>
      </c>
      <c r="E1110" s="4">
        <v>45238</v>
      </c>
    </row>
    <row r="1111" spans="1:5" x14ac:dyDescent="0.25">
      <c r="A1111" s="1" t="str">
        <f>"ZEST MIXOLOGY GLOBAL LTD"</f>
        <v>ZEST MIXOLOGY GLOBAL LTD</v>
      </c>
      <c r="B1111" t="str">
        <f>"07588484"</f>
        <v>07588484</v>
      </c>
      <c r="C1111" s="2" t="s">
        <v>64</v>
      </c>
      <c r="D1111" s="2" t="s">
        <v>26</v>
      </c>
      <c r="E1111" s="4">
        <v>45239</v>
      </c>
    </row>
    <row r="1112" spans="1:5" x14ac:dyDescent="0.25">
      <c r="A1112" s="1" t="str">
        <f>"GORGEMANCHESTER LTD"</f>
        <v>GORGEMANCHESTER LTD</v>
      </c>
      <c r="B1112" t="str">
        <f>"12100381"</f>
        <v>12100381</v>
      </c>
      <c r="C1112" s="2" t="s">
        <v>64</v>
      </c>
      <c r="D1112" s="2" t="s">
        <v>26</v>
      </c>
      <c r="E1112" s="4">
        <v>45239</v>
      </c>
    </row>
    <row r="1113" spans="1:5" x14ac:dyDescent="0.25">
      <c r="A1113" s="1" t="str">
        <f>"CHARBILLS LIMITED"</f>
        <v>CHARBILLS LIMITED</v>
      </c>
      <c r="B1113" t="str">
        <f>"13705145"</f>
        <v>13705145</v>
      </c>
      <c r="C1113" s="2" t="s">
        <v>64</v>
      </c>
      <c r="D1113" s="2" t="s">
        <v>26</v>
      </c>
      <c r="E1113" s="4">
        <v>45243</v>
      </c>
    </row>
    <row r="1114" spans="1:5" x14ac:dyDescent="0.25">
      <c r="A1114" s="1" t="str">
        <f>"HALLIE AND HARLOW LIMITED"</f>
        <v>HALLIE AND HARLOW LIMITED</v>
      </c>
      <c r="B1114" t="str">
        <f>"12841385"</f>
        <v>12841385</v>
      </c>
      <c r="C1114" s="2" t="s">
        <v>64</v>
      </c>
      <c r="D1114" s="2" t="s">
        <v>26</v>
      </c>
      <c r="E1114" s="4">
        <v>45243</v>
      </c>
    </row>
    <row r="1115" spans="1:5" x14ac:dyDescent="0.25">
      <c r="A1115" s="1" t="str">
        <f>"TST INSTALLATIONS LIMITED"</f>
        <v>TST INSTALLATIONS LIMITED</v>
      </c>
      <c r="B1115" t="str">
        <f>"05407595"</f>
        <v>05407595</v>
      </c>
      <c r="C1115" s="2" t="s">
        <v>64</v>
      </c>
      <c r="D1115" s="2" t="s">
        <v>26</v>
      </c>
      <c r="E1115" s="4">
        <v>45243</v>
      </c>
    </row>
    <row r="1116" spans="1:5" x14ac:dyDescent="0.25">
      <c r="A1116" s="1" t="str">
        <f>"SUN RICH CLEANING SERVICES SOUTH LIMITED"</f>
        <v>SUN RICH CLEANING SERVICES SOUTH LIMITED</v>
      </c>
      <c r="B1116" t="str">
        <f>"09745861"</f>
        <v>09745861</v>
      </c>
      <c r="C1116" s="2" t="s">
        <v>64</v>
      </c>
      <c r="D1116" s="2" t="s">
        <v>26</v>
      </c>
      <c r="E1116" s="4">
        <v>45244</v>
      </c>
    </row>
    <row r="1117" spans="1:5" x14ac:dyDescent="0.25">
      <c r="A1117" s="1" t="str">
        <f>"FALCONSTWO LIMITED"</f>
        <v>FALCONSTWO LIMITED</v>
      </c>
      <c r="B1117" t="str">
        <f>"11836739"</f>
        <v>11836739</v>
      </c>
      <c r="C1117" s="2" t="s">
        <v>64</v>
      </c>
      <c r="D1117" s="2" t="s">
        <v>26</v>
      </c>
      <c r="E1117" s="4">
        <v>45244</v>
      </c>
    </row>
    <row r="1118" spans="1:5" x14ac:dyDescent="0.25">
      <c r="A1118" s="1" t="str">
        <f>"IT PARTS AND SPARES LIMITED"</f>
        <v>IT PARTS AND SPARES LIMITED</v>
      </c>
      <c r="B1118" t="str">
        <f>"09089093"</f>
        <v>09089093</v>
      </c>
      <c r="C1118" s="2" t="s">
        <v>64</v>
      </c>
      <c r="D1118" s="2" t="s">
        <v>26</v>
      </c>
      <c r="E1118" s="4">
        <v>45244</v>
      </c>
    </row>
    <row r="1119" spans="1:5" x14ac:dyDescent="0.25">
      <c r="A1119" s="1" t="str">
        <f>"BISTRO MARC LIMITED"</f>
        <v>BISTRO MARC LIMITED</v>
      </c>
      <c r="B1119" t="str">
        <f>"11622713"</f>
        <v>11622713</v>
      </c>
      <c r="C1119" s="2" t="s">
        <v>64</v>
      </c>
      <c r="D1119" s="2" t="s">
        <v>26</v>
      </c>
      <c r="E1119" s="4">
        <v>45247</v>
      </c>
    </row>
    <row r="1120" spans="1:5" x14ac:dyDescent="0.25">
      <c r="A1120" s="1" t="s">
        <v>716</v>
      </c>
      <c r="B1120" t="s">
        <v>717</v>
      </c>
      <c r="C1120" s="2" t="s">
        <v>64</v>
      </c>
      <c r="D1120" s="2" t="s">
        <v>26</v>
      </c>
      <c r="E1120" s="4">
        <v>45250</v>
      </c>
    </row>
    <row r="1121" spans="1:40" x14ac:dyDescent="0.25">
      <c r="A1121" s="1" t="s">
        <v>856</v>
      </c>
      <c r="B1121">
        <v>7668389</v>
      </c>
      <c r="C1121" s="2" t="s">
        <v>64</v>
      </c>
      <c r="D1121" s="2" t="s">
        <v>26</v>
      </c>
      <c r="E1121" s="4">
        <v>45250</v>
      </c>
    </row>
    <row r="1122" spans="1:40" x14ac:dyDescent="0.25">
      <c r="A1122" s="1" t="str">
        <f>"SURE CONNECT SYSTEMS LIMITED"</f>
        <v>SURE CONNECT SYSTEMS LIMITED</v>
      </c>
      <c r="B1122" t="str">
        <f>"04076262"</f>
        <v>04076262</v>
      </c>
      <c r="C1122" s="2" t="s">
        <v>64</v>
      </c>
      <c r="D1122" s="2" t="s">
        <v>26</v>
      </c>
      <c r="E1122" s="4">
        <v>45252</v>
      </c>
    </row>
    <row r="1123" spans="1:40" x14ac:dyDescent="0.25">
      <c r="A1123" s="1" t="str">
        <f>"LOK DEVELOPMENTS 03 LIMITED"</f>
        <v>LOK DEVELOPMENTS 03 LIMITED</v>
      </c>
      <c r="B1123" t="str">
        <f>"11824198"</f>
        <v>11824198</v>
      </c>
      <c r="C1123" s="2" t="s">
        <v>64</v>
      </c>
      <c r="D1123" s="2" t="s">
        <v>26</v>
      </c>
      <c r="E1123" s="4">
        <v>45252</v>
      </c>
    </row>
    <row r="1124" spans="1:40" x14ac:dyDescent="0.25">
      <c r="A1124" s="1" t="str">
        <f>"BLEND: COOK, EAT, SHARE CIC"</f>
        <v>BLEND: COOK, EAT, SHARE CIC</v>
      </c>
      <c r="B1124" t="str">
        <f>"10430599"</f>
        <v>10430599</v>
      </c>
      <c r="C1124" s="2" t="s">
        <v>64</v>
      </c>
      <c r="D1124" s="2" t="s">
        <v>58</v>
      </c>
      <c r="E1124" s="4">
        <v>45230</v>
      </c>
    </row>
    <row r="1125" spans="1:40" x14ac:dyDescent="0.25">
      <c r="A1125" s="1" t="str">
        <f>"TRI-POINT SECURITY LTD"</f>
        <v>TRI-POINT SECURITY LTD</v>
      </c>
      <c r="B1125" t="str">
        <f>"12031445"</f>
        <v>12031445</v>
      </c>
      <c r="C1125" s="2" t="s">
        <v>64</v>
      </c>
      <c r="D1125" s="2" t="s">
        <v>58</v>
      </c>
      <c r="E1125" s="4">
        <v>45232</v>
      </c>
      <c r="X1125" s="15"/>
      <c r="Y1125" s="15"/>
      <c r="Z1125" s="15"/>
      <c r="AA1125" s="15"/>
      <c r="AB1125" s="15"/>
      <c r="AC1125" s="15"/>
      <c r="AD1125" s="15"/>
      <c r="AE1125" s="15"/>
      <c r="AF1125" s="15"/>
      <c r="AG1125" s="15"/>
      <c r="AH1125" s="15"/>
      <c r="AI1125" s="15"/>
      <c r="AJ1125" s="15"/>
      <c r="AK1125" s="15"/>
      <c r="AL1125" s="15"/>
      <c r="AM1125" s="15"/>
      <c r="AN1125" s="15"/>
    </row>
    <row r="1126" spans="1:40" x14ac:dyDescent="0.25">
      <c r="A1126" s="1" t="str">
        <f>"LAUNDRYPOINT LTD"</f>
        <v>LAUNDRYPOINT LTD</v>
      </c>
      <c r="B1126" t="str">
        <f>"06944014"</f>
        <v>06944014</v>
      </c>
      <c r="C1126" s="2" t="s">
        <v>64</v>
      </c>
      <c r="D1126" s="2" t="s">
        <v>58</v>
      </c>
      <c r="E1126" s="4">
        <v>45232</v>
      </c>
      <c r="X1126" s="15"/>
      <c r="Y1126" s="15"/>
      <c r="Z1126" s="15"/>
      <c r="AA1126" s="15"/>
      <c r="AB1126" s="15"/>
      <c r="AC1126" s="15"/>
      <c r="AD1126" s="15"/>
      <c r="AE1126" s="15"/>
      <c r="AF1126" s="15"/>
      <c r="AG1126" s="15"/>
      <c r="AH1126" s="15"/>
      <c r="AI1126" s="15"/>
      <c r="AJ1126" s="15"/>
      <c r="AK1126" s="15"/>
      <c r="AL1126" s="15"/>
      <c r="AM1126" s="15"/>
      <c r="AN1126" s="15"/>
    </row>
    <row r="1127" spans="1:40" s="15" customFormat="1" x14ac:dyDescent="0.25">
      <c r="A1127" s="1" t="str">
        <f>"NIGHTINGALES HOLDINGS DONCASTER LTD"</f>
        <v>NIGHTINGALES HOLDINGS DONCASTER LTD</v>
      </c>
      <c r="B1127" t="str">
        <f>"13862001"</f>
        <v>13862001</v>
      </c>
      <c r="C1127" s="2" t="s">
        <v>64</v>
      </c>
      <c r="D1127" s="2" t="s">
        <v>58</v>
      </c>
      <c r="E1127" s="4">
        <v>45250</v>
      </c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</row>
    <row r="1128" spans="1:40" s="15" customFormat="1" x14ac:dyDescent="0.25">
      <c r="A1128" s="1" t="str">
        <f>"NIGHTINGALES HOLDINGS LTD"</f>
        <v>NIGHTINGALES HOLDINGS LTD</v>
      </c>
      <c r="B1128" t="str">
        <f>"12698442"</f>
        <v>12698442</v>
      </c>
      <c r="C1128" s="2" t="s">
        <v>64</v>
      </c>
      <c r="D1128" s="2" t="s">
        <v>58</v>
      </c>
      <c r="E1128" s="4">
        <v>45250</v>
      </c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</row>
    <row r="1129" spans="1:40" x14ac:dyDescent="0.25">
      <c r="A1129" s="1" t="str">
        <f>"FROTH-N-HOP MICROPUBS LIMITED"</f>
        <v>FROTH-N-HOP MICROPUBS LIMITED</v>
      </c>
      <c r="B1129" t="str">
        <f>"11238809"</f>
        <v>11238809</v>
      </c>
      <c r="C1129" s="2" t="s">
        <v>64</v>
      </c>
      <c r="D1129" s="2" t="s">
        <v>58</v>
      </c>
      <c r="E1129" s="4">
        <v>45257</v>
      </c>
    </row>
    <row r="1130" spans="1:40" x14ac:dyDescent="0.25">
      <c r="A1130" s="1" t="str">
        <f>"THE HEALTHY HOUSE LIMITED"</f>
        <v>THE HEALTHY HOUSE LIMITED</v>
      </c>
      <c r="B1130" t="str">
        <f>"04860381"</f>
        <v>04860381</v>
      </c>
      <c r="C1130" s="2" t="s">
        <v>64</v>
      </c>
      <c r="D1130" s="2" t="s">
        <v>274</v>
      </c>
      <c r="E1130" s="4">
        <v>45224</v>
      </c>
    </row>
    <row r="1131" spans="1:40" x14ac:dyDescent="0.25">
      <c r="A1131" s="1" t="str">
        <f>"TWICEFORMAT LIMITED"</f>
        <v>TWICEFORMAT LIMITED</v>
      </c>
      <c r="B1131" t="str">
        <f>"02016923"</f>
        <v>02016923</v>
      </c>
      <c r="C1131" s="2" t="s">
        <v>64</v>
      </c>
      <c r="D1131" s="2" t="s">
        <v>297</v>
      </c>
      <c r="E1131" s="4">
        <v>45253</v>
      </c>
    </row>
    <row r="1132" spans="1:40" x14ac:dyDescent="0.25">
      <c r="A1132" s="1" t="str">
        <f>"NAMASTE BENGAL LTD"</f>
        <v>NAMASTE BENGAL LTD</v>
      </c>
      <c r="B1132" t="str">
        <f>"12315871"</f>
        <v>12315871</v>
      </c>
      <c r="C1132" s="2" t="s">
        <v>281</v>
      </c>
      <c r="D1132" s="2" t="s">
        <v>34</v>
      </c>
      <c r="E1132" s="4">
        <v>45232</v>
      </c>
    </row>
    <row r="1133" spans="1:40" x14ac:dyDescent="0.25">
      <c r="A1133" s="1" t="str">
        <f>"LUSOBRITS TRADING COMPANY LIMITED"</f>
        <v>LUSOBRITS TRADING COMPANY LIMITED</v>
      </c>
      <c r="B1133" t="str">
        <f>"03499207"</f>
        <v>03499207</v>
      </c>
      <c r="C1133" s="2" t="s">
        <v>281</v>
      </c>
      <c r="D1133" s="2" t="s">
        <v>34</v>
      </c>
      <c r="E1133" s="4">
        <v>45244</v>
      </c>
    </row>
    <row r="1134" spans="1:40" x14ac:dyDescent="0.25">
      <c r="A1134" s="1" t="s">
        <v>822</v>
      </c>
      <c r="B1134">
        <v>12394907</v>
      </c>
      <c r="C1134" s="2" t="s">
        <v>281</v>
      </c>
      <c r="D1134" s="2" t="s">
        <v>34</v>
      </c>
      <c r="E1134" s="4">
        <v>45252</v>
      </c>
    </row>
    <row r="1135" spans="1:40" x14ac:dyDescent="0.25">
      <c r="A1135" s="1" t="s">
        <v>811</v>
      </c>
      <c r="B1135">
        <v>1508848</v>
      </c>
      <c r="C1135" s="2" t="s">
        <v>42</v>
      </c>
      <c r="D1135" s="2" t="s">
        <v>43</v>
      </c>
      <c r="E1135" s="4">
        <v>45250</v>
      </c>
    </row>
    <row r="1136" spans="1:40" x14ac:dyDescent="0.25">
      <c r="A1136" s="1" t="str">
        <f>"AD GLOBAL LOGISTICS LIMITED"</f>
        <v>AD GLOBAL LOGISTICS LIMITED</v>
      </c>
      <c r="B1136" t="str">
        <f>"03574298"</f>
        <v>03574298</v>
      </c>
      <c r="C1136" s="2" t="s">
        <v>166</v>
      </c>
      <c r="D1136" s="2" t="s">
        <v>167</v>
      </c>
      <c r="E1136" s="4">
        <v>45238</v>
      </c>
    </row>
    <row r="1137" spans="1:5" x14ac:dyDescent="0.25">
      <c r="A1137" s="1" t="s">
        <v>622</v>
      </c>
      <c r="B1137">
        <v>10873855</v>
      </c>
      <c r="C1137" s="2" t="s">
        <v>166</v>
      </c>
      <c r="D1137" s="2" t="s">
        <v>167</v>
      </c>
      <c r="E1137" s="4">
        <v>45245</v>
      </c>
    </row>
    <row r="1138" spans="1:5" x14ac:dyDescent="0.25">
      <c r="A1138" s="1" t="str">
        <f>"VITAL INSIGHT LIMITED"</f>
        <v>VITAL INSIGHT LIMITED</v>
      </c>
      <c r="B1138" t="str">
        <f>"04983342"</f>
        <v>04983342</v>
      </c>
      <c r="C1138" s="2" t="s">
        <v>166</v>
      </c>
      <c r="D1138" s="2" t="s">
        <v>167</v>
      </c>
      <c r="E1138" s="4">
        <v>45247</v>
      </c>
    </row>
    <row r="1139" spans="1:5" x14ac:dyDescent="0.25">
      <c r="A1139" s="1" t="str">
        <f>"OVERLAND SPECIALIST VEHICLES LTD"</f>
        <v>OVERLAND SPECIALIST VEHICLES LTD</v>
      </c>
      <c r="B1139" t="str">
        <f>"11838165"</f>
        <v>11838165</v>
      </c>
      <c r="C1139" s="2" t="s">
        <v>166</v>
      </c>
      <c r="D1139" s="2" t="s">
        <v>167</v>
      </c>
      <c r="E1139" s="4">
        <v>45253</v>
      </c>
    </row>
    <row r="1140" spans="1:5" x14ac:dyDescent="0.25">
      <c r="A1140" s="1" t="s">
        <v>447</v>
      </c>
      <c r="B1140">
        <v>9964389</v>
      </c>
      <c r="C1140" s="2" t="s">
        <v>33</v>
      </c>
      <c r="D1140" s="2" t="s">
        <v>34</v>
      </c>
      <c r="E1140" s="4">
        <v>45223</v>
      </c>
    </row>
    <row r="1141" spans="1:5" x14ac:dyDescent="0.25">
      <c r="A1141" s="1" t="str">
        <f>"TRAVLET LIMITED"</f>
        <v>TRAVLET LIMITED</v>
      </c>
      <c r="B1141" t="str">
        <f>"11550034"</f>
        <v>11550034</v>
      </c>
      <c r="C1141" s="2" t="s">
        <v>33</v>
      </c>
      <c r="D1141" s="2" t="s">
        <v>34</v>
      </c>
      <c r="E1141" s="4">
        <v>45236</v>
      </c>
    </row>
    <row r="1142" spans="1:5" x14ac:dyDescent="0.25">
      <c r="A1142" s="1" t="str">
        <f>"FIRE DIGITAL LIMITED"</f>
        <v>FIRE DIGITAL LIMITED</v>
      </c>
      <c r="B1142" t="str">
        <f>"10587319"</f>
        <v>10587319</v>
      </c>
      <c r="C1142" s="2" t="s">
        <v>33</v>
      </c>
      <c r="D1142" s="2" t="s">
        <v>34</v>
      </c>
      <c r="E1142" s="4">
        <v>45239</v>
      </c>
    </row>
    <row r="1143" spans="1:5" x14ac:dyDescent="0.25">
      <c r="A1143" s="1" t="s">
        <v>731</v>
      </c>
      <c r="B1143">
        <v>10768041</v>
      </c>
      <c r="C1143" s="2" t="s">
        <v>33</v>
      </c>
      <c r="D1143" s="2" t="s">
        <v>34</v>
      </c>
      <c r="E1143" s="4">
        <v>45243</v>
      </c>
    </row>
    <row r="1144" spans="1:5" x14ac:dyDescent="0.25">
      <c r="A1144" s="1" t="str">
        <f>"SNK PROPERTY DEVELOPMENT AND MANAGEMENT LTD"</f>
        <v>SNK PROPERTY DEVELOPMENT AND MANAGEMENT LTD</v>
      </c>
      <c r="B1144" t="str">
        <f>"11495592"</f>
        <v>11495592</v>
      </c>
      <c r="C1144" s="2" t="s">
        <v>33</v>
      </c>
      <c r="D1144" s="2" t="s">
        <v>34</v>
      </c>
      <c r="E1144" s="4">
        <v>45246</v>
      </c>
    </row>
    <row r="1145" spans="1:5" x14ac:dyDescent="0.25">
      <c r="A1145" s="1" t="str">
        <f>"LITTLE LUXURY LTD"</f>
        <v>LITTLE LUXURY LTD</v>
      </c>
      <c r="B1145" t="str">
        <f>"11119255"</f>
        <v>11119255</v>
      </c>
      <c r="C1145" s="2" t="s">
        <v>33</v>
      </c>
      <c r="D1145" s="2" t="s">
        <v>34</v>
      </c>
      <c r="E1145" s="4">
        <v>45247</v>
      </c>
    </row>
    <row r="1146" spans="1:5" x14ac:dyDescent="0.25">
      <c r="A1146" s="1" t="str">
        <f>"JACK'S BESPOKE LIMITED"</f>
        <v>JACK'S BESPOKE LIMITED</v>
      </c>
      <c r="B1146" t="str">
        <f>"12107891"</f>
        <v>12107891</v>
      </c>
      <c r="C1146" s="2" t="s">
        <v>283</v>
      </c>
      <c r="D1146" s="2" t="s">
        <v>26</v>
      </c>
      <c r="E1146" s="4">
        <v>45231</v>
      </c>
    </row>
    <row r="1147" spans="1:5" x14ac:dyDescent="0.25">
      <c r="A1147" s="1" t="str">
        <f>"VECTOR WEALTH LTD"</f>
        <v>VECTOR WEALTH LTD</v>
      </c>
      <c r="B1147" t="str">
        <f>"07086014"</f>
        <v>07086014</v>
      </c>
      <c r="C1147" s="2" t="s">
        <v>352</v>
      </c>
      <c r="D1147" s="2" t="s">
        <v>7</v>
      </c>
      <c r="E1147" s="4">
        <v>45219</v>
      </c>
    </row>
    <row r="1148" spans="1:5" x14ac:dyDescent="0.25">
      <c r="A1148" s="1" t="s">
        <v>683</v>
      </c>
      <c r="B1148">
        <v>6291490</v>
      </c>
      <c r="C1148" s="2" t="s">
        <v>317</v>
      </c>
      <c r="D1148" s="2" t="s">
        <v>183</v>
      </c>
      <c r="E1148" s="4">
        <v>45245</v>
      </c>
    </row>
    <row r="1149" spans="1:5" x14ac:dyDescent="0.25">
      <c r="A1149" s="1" t="str">
        <f>"ENFIELD DISABILITY ACTION"</f>
        <v>ENFIELD DISABILITY ACTION</v>
      </c>
      <c r="B1149" t="str">
        <f>"03937507"</f>
        <v>03937507</v>
      </c>
      <c r="C1149" s="2" t="s">
        <v>317</v>
      </c>
      <c r="D1149" s="2" t="s">
        <v>183</v>
      </c>
      <c r="E1149" s="4">
        <v>45250</v>
      </c>
    </row>
    <row r="1150" spans="1:5" x14ac:dyDescent="0.25">
      <c r="A1150" s="1" t="s">
        <v>616</v>
      </c>
      <c r="B1150">
        <v>9525355</v>
      </c>
      <c r="C1150" s="2" t="s">
        <v>153</v>
      </c>
      <c r="D1150" s="2" t="s">
        <v>154</v>
      </c>
      <c r="E1150" s="4">
        <v>45239</v>
      </c>
    </row>
    <row r="1151" spans="1:5" x14ac:dyDescent="0.25">
      <c r="A1151" s="1" t="str">
        <f>"MAMA CASS RESTAURANTS (UK) LIMITED"</f>
        <v>MAMA CASS RESTAURANTS (UK) LIMITED</v>
      </c>
      <c r="B1151" t="str">
        <f>"05820262"</f>
        <v>05820262</v>
      </c>
      <c r="C1151" s="2" t="s">
        <v>153</v>
      </c>
      <c r="D1151" s="2" t="s">
        <v>154</v>
      </c>
      <c r="E1151" s="4">
        <v>45253</v>
      </c>
    </row>
    <row r="1152" spans="1:5" x14ac:dyDescent="0.25">
      <c r="A1152" s="1" t="s">
        <v>378</v>
      </c>
      <c r="B1152">
        <v>4093864</v>
      </c>
      <c r="C1152" s="2" t="s">
        <v>153</v>
      </c>
      <c r="D1152" s="2" t="s">
        <v>366</v>
      </c>
      <c r="E1152" s="4">
        <v>45225</v>
      </c>
    </row>
    <row r="1153" spans="1:5" x14ac:dyDescent="0.25">
      <c r="A1153" s="1" t="str">
        <f>"RRS LIGHTING LTD"</f>
        <v>RRS LIGHTING LTD</v>
      </c>
      <c r="B1153" t="str">
        <f>"10718514"</f>
        <v>10718514</v>
      </c>
      <c r="C1153" s="2" t="s">
        <v>153</v>
      </c>
      <c r="D1153" s="2" t="s">
        <v>366</v>
      </c>
      <c r="E1153" s="4">
        <v>45225</v>
      </c>
    </row>
    <row r="1154" spans="1:5" x14ac:dyDescent="0.25">
      <c r="A1154" s="1" t="str">
        <f>"THE CEDARS HEALTHCARE (CG) LTD"</f>
        <v>THE CEDARS HEALTHCARE (CG) LTD</v>
      </c>
      <c r="B1154" t="str">
        <f>"13239400"</f>
        <v>13239400</v>
      </c>
      <c r="C1154" s="2" t="s">
        <v>153</v>
      </c>
      <c r="D1154" s="2" t="s">
        <v>366</v>
      </c>
      <c r="E1154" s="4">
        <v>45230</v>
      </c>
    </row>
    <row r="1155" spans="1:5" x14ac:dyDescent="0.25">
      <c r="A1155" s="1" t="str">
        <f>"THE CEDARS HEALTHCARE (CF) LTD"</f>
        <v>THE CEDARS HEALTHCARE (CF) LTD</v>
      </c>
      <c r="B1155" t="str">
        <f>"13239363"</f>
        <v>13239363</v>
      </c>
      <c r="C1155" s="2" t="s">
        <v>153</v>
      </c>
      <c r="D1155" s="2" t="s">
        <v>366</v>
      </c>
      <c r="E1155" s="4">
        <v>45230</v>
      </c>
    </row>
    <row r="1156" spans="1:5" x14ac:dyDescent="0.25">
      <c r="A1156" s="1" t="str">
        <f>"MNJV3 CORPORATION LIMITED"</f>
        <v>MNJV3 CORPORATION LIMITED</v>
      </c>
      <c r="B1156" t="str">
        <f>"09277236"</f>
        <v>09277236</v>
      </c>
      <c r="C1156" s="2" t="s">
        <v>153</v>
      </c>
      <c r="D1156" s="2" t="s">
        <v>366</v>
      </c>
      <c r="E1156" s="4">
        <v>45230</v>
      </c>
    </row>
    <row r="1157" spans="1:5" x14ac:dyDescent="0.25">
      <c r="A1157" s="1" t="str">
        <f>"KIRIAD RESEARCH LIMITED"</f>
        <v>KIRIAD RESEARCH LIMITED</v>
      </c>
      <c r="B1157" t="str">
        <f>"07124576"</f>
        <v>07124576</v>
      </c>
      <c r="C1157" s="2" t="s">
        <v>153</v>
      </c>
      <c r="D1157" s="2" t="s">
        <v>366</v>
      </c>
      <c r="E1157" s="4">
        <v>45232</v>
      </c>
    </row>
    <row r="1158" spans="1:5" x14ac:dyDescent="0.25">
      <c r="A1158" s="1" t="str">
        <f>"NEW SOUTHWORTH HALL TRAVEL LTD"</f>
        <v>NEW SOUTHWORTH HALL TRAVEL LTD</v>
      </c>
      <c r="B1158" t="str">
        <f>"11677102"</f>
        <v>11677102</v>
      </c>
      <c r="C1158" s="2" t="s">
        <v>8</v>
      </c>
      <c r="D1158" s="2" t="s">
        <v>26</v>
      </c>
      <c r="E1158" s="4">
        <v>45237</v>
      </c>
    </row>
    <row r="1159" spans="1:5" x14ac:dyDescent="0.25">
      <c r="A1159" s="1" t="str">
        <f>"MZIPPER LTD"</f>
        <v>MZIPPER LTD</v>
      </c>
      <c r="B1159" t="str">
        <f>"12123424"</f>
        <v>12123424</v>
      </c>
      <c r="C1159" s="2" t="s">
        <v>8</v>
      </c>
      <c r="D1159" s="2" t="s">
        <v>26</v>
      </c>
      <c r="E1159" s="4">
        <v>45244</v>
      </c>
    </row>
    <row r="1160" spans="1:5" x14ac:dyDescent="0.25">
      <c r="A1160" s="1" t="str">
        <f>"C.H. LATHAM, THE BAKER, LIMITED"</f>
        <v>C.H. LATHAM, THE BAKER, LIMITED</v>
      </c>
      <c r="B1160" t="str">
        <f>"02133577"</f>
        <v>02133577</v>
      </c>
      <c r="C1160" s="2" t="s">
        <v>8</v>
      </c>
      <c r="D1160" s="2" t="s">
        <v>26</v>
      </c>
      <c r="E1160" s="4">
        <v>45246</v>
      </c>
    </row>
    <row r="1161" spans="1:5" x14ac:dyDescent="0.25">
      <c r="A1161" s="1" t="str">
        <f>"THE DUTCH BAKERY LIMITED"</f>
        <v>THE DUTCH BAKERY LIMITED</v>
      </c>
      <c r="B1161" t="str">
        <f>"04674422"</f>
        <v>04674422</v>
      </c>
      <c r="C1161" s="2" t="s">
        <v>8</v>
      </c>
      <c r="D1161" s="2" t="s">
        <v>26</v>
      </c>
      <c r="E1161" s="4">
        <v>45246</v>
      </c>
    </row>
    <row r="1162" spans="1:5" x14ac:dyDescent="0.25">
      <c r="A1162" s="1" t="s">
        <v>502</v>
      </c>
      <c r="B1162">
        <v>12131396</v>
      </c>
      <c r="C1162" s="2" t="s">
        <v>8</v>
      </c>
      <c r="D1162" s="2" t="s">
        <v>9</v>
      </c>
      <c r="E1162" s="4">
        <v>45223</v>
      </c>
    </row>
    <row r="1163" spans="1:5" x14ac:dyDescent="0.25">
      <c r="A1163" s="1" t="s">
        <v>444</v>
      </c>
      <c r="B1163">
        <v>7789299</v>
      </c>
      <c r="C1163" s="2" t="s">
        <v>8</v>
      </c>
      <c r="D1163" s="2" t="s">
        <v>9</v>
      </c>
      <c r="E1163" s="4">
        <v>45226</v>
      </c>
    </row>
    <row r="1164" spans="1:5" x14ac:dyDescent="0.25">
      <c r="A1164" s="1" t="s">
        <v>500</v>
      </c>
      <c r="B1164">
        <v>9434063</v>
      </c>
      <c r="C1164" s="2" t="s">
        <v>8</v>
      </c>
      <c r="D1164" s="2" t="s">
        <v>9</v>
      </c>
      <c r="E1164" s="4">
        <v>45226</v>
      </c>
    </row>
    <row r="1165" spans="1:5" x14ac:dyDescent="0.25">
      <c r="A1165" s="1" t="s">
        <v>501</v>
      </c>
      <c r="B1165">
        <v>5220498</v>
      </c>
      <c r="C1165" s="2" t="s">
        <v>8</v>
      </c>
      <c r="D1165" s="2" t="s">
        <v>9</v>
      </c>
      <c r="E1165" s="4">
        <v>45229</v>
      </c>
    </row>
    <row r="1166" spans="1:5" x14ac:dyDescent="0.25">
      <c r="A1166" s="1" t="str">
        <f>"TC ESTATES LIMITED"</f>
        <v>TC ESTATES LIMITED</v>
      </c>
      <c r="B1166" t="str">
        <f>"08819314"</f>
        <v>08819314</v>
      </c>
      <c r="C1166" s="2" t="s">
        <v>8</v>
      </c>
      <c r="D1166" s="2" t="s">
        <v>9</v>
      </c>
      <c r="E1166" s="4">
        <v>45230</v>
      </c>
    </row>
    <row r="1167" spans="1:5" x14ac:dyDescent="0.25">
      <c r="A1167" s="1" t="str">
        <f>"JEYCO LTD"</f>
        <v>JEYCO LTD</v>
      </c>
      <c r="B1167" t="str">
        <f>"11127620"</f>
        <v>11127620</v>
      </c>
      <c r="C1167" s="2" t="s">
        <v>8</v>
      </c>
      <c r="D1167" s="2" t="s">
        <v>9</v>
      </c>
      <c r="E1167" s="4">
        <v>45237</v>
      </c>
    </row>
    <row r="1168" spans="1:5" x14ac:dyDescent="0.25">
      <c r="A1168" s="1" t="str">
        <f>"BLUE GENERATION LTD"</f>
        <v>BLUE GENERATION LTD</v>
      </c>
      <c r="B1168" t="str">
        <f>"14141681"</f>
        <v>14141681</v>
      </c>
      <c r="C1168" s="2" t="s">
        <v>8</v>
      </c>
      <c r="D1168" s="2" t="s">
        <v>9</v>
      </c>
      <c r="E1168" s="4">
        <v>45238</v>
      </c>
    </row>
    <row r="1169" spans="1:5" x14ac:dyDescent="0.25">
      <c r="A1169" s="1" t="str">
        <f>"TWIG PROPERTY LIMITED"</f>
        <v>TWIG PROPERTY LIMITED</v>
      </c>
      <c r="B1169" t="str">
        <f>"13644122"</f>
        <v>13644122</v>
      </c>
      <c r="C1169" s="2" t="s">
        <v>8</v>
      </c>
      <c r="D1169" s="2" t="s">
        <v>9</v>
      </c>
      <c r="E1169" s="4">
        <v>45239</v>
      </c>
    </row>
    <row r="1170" spans="1:5" x14ac:dyDescent="0.25">
      <c r="A1170" s="1" t="str">
        <f>"CROWN MANAGEMENT GROUP LTD"</f>
        <v>CROWN MANAGEMENT GROUP LTD</v>
      </c>
      <c r="B1170" t="str">
        <f>"10184256"</f>
        <v>10184256</v>
      </c>
      <c r="C1170" s="2" t="s">
        <v>8</v>
      </c>
      <c r="D1170" s="2" t="s">
        <v>9</v>
      </c>
      <c r="E1170" s="4">
        <v>45240</v>
      </c>
    </row>
    <row r="1171" spans="1:5" x14ac:dyDescent="0.25">
      <c r="A1171" s="1" t="s">
        <v>719</v>
      </c>
      <c r="B1171">
        <v>12008476</v>
      </c>
      <c r="C1171" s="2" t="s">
        <v>8</v>
      </c>
      <c r="D1171" s="2" t="s">
        <v>9</v>
      </c>
      <c r="E1171" s="4">
        <v>45243</v>
      </c>
    </row>
    <row r="1172" spans="1:5" x14ac:dyDescent="0.25">
      <c r="A1172" s="1" t="s">
        <v>798</v>
      </c>
      <c r="B1172" t="s">
        <v>799</v>
      </c>
      <c r="C1172" s="2" t="s">
        <v>8</v>
      </c>
      <c r="D1172" s="2" t="s">
        <v>9</v>
      </c>
      <c r="E1172" s="4">
        <v>45245</v>
      </c>
    </row>
    <row r="1173" spans="1:5" x14ac:dyDescent="0.25">
      <c r="A1173" s="1" t="s">
        <v>686</v>
      </c>
      <c r="B1173">
        <v>9162150</v>
      </c>
      <c r="C1173" s="2" t="s">
        <v>8</v>
      </c>
      <c r="D1173" s="2" t="s">
        <v>9</v>
      </c>
      <c r="E1173" s="4">
        <v>45247</v>
      </c>
    </row>
    <row r="1174" spans="1:5" x14ac:dyDescent="0.25">
      <c r="A1174" s="1" t="str">
        <f>"THE UNICORN INN LIMITED"</f>
        <v>THE UNICORN INN LIMITED</v>
      </c>
      <c r="B1174" t="str">
        <f>"06319325"</f>
        <v>06319325</v>
      </c>
      <c r="C1174" s="2" t="s">
        <v>8</v>
      </c>
      <c r="D1174" s="2" t="s">
        <v>9</v>
      </c>
      <c r="E1174" s="4">
        <v>45247</v>
      </c>
    </row>
    <row r="1175" spans="1:5" x14ac:dyDescent="0.25">
      <c r="A1175" s="1" t="str">
        <f>"D P JOY CONSULTING LIMITED"</f>
        <v>D P JOY CONSULTING LIMITED</v>
      </c>
      <c r="B1175" t="str">
        <f>"12328199"</f>
        <v>12328199</v>
      </c>
      <c r="C1175" s="2" t="s">
        <v>8</v>
      </c>
      <c r="D1175" s="2" t="s">
        <v>9</v>
      </c>
      <c r="E1175" s="4">
        <v>45251</v>
      </c>
    </row>
    <row r="1176" spans="1:5" x14ac:dyDescent="0.25">
      <c r="A1176" s="1" t="str">
        <f>"PROFOUND CONTENT LTD"</f>
        <v>PROFOUND CONTENT LTD</v>
      </c>
      <c r="B1176" t="str">
        <f>"12219923"</f>
        <v>12219923</v>
      </c>
      <c r="C1176" s="2" t="s">
        <v>8</v>
      </c>
      <c r="D1176" s="2" t="s">
        <v>9</v>
      </c>
      <c r="E1176" s="4">
        <v>45253</v>
      </c>
    </row>
    <row r="1177" spans="1:5" x14ac:dyDescent="0.25">
      <c r="A1177" s="1" t="str">
        <f>"ELENTEC LIMITED"</f>
        <v>ELENTEC LIMITED</v>
      </c>
      <c r="B1177" t="str">
        <f>"07824460"</f>
        <v>07824460</v>
      </c>
      <c r="C1177" s="2" t="s">
        <v>8</v>
      </c>
      <c r="D1177" s="2" t="s">
        <v>9</v>
      </c>
      <c r="E1177" s="4">
        <v>45254</v>
      </c>
    </row>
    <row r="1178" spans="1:5" x14ac:dyDescent="0.25">
      <c r="A1178" s="1" t="str">
        <f>"BAR PINA LIMITED"</f>
        <v>BAR PINA LIMITED</v>
      </c>
      <c r="B1178" t="str">
        <f>"11118778"</f>
        <v>11118778</v>
      </c>
      <c r="C1178" s="2" t="s">
        <v>176</v>
      </c>
      <c r="D1178" s="2" t="s">
        <v>58</v>
      </c>
      <c r="E1178" s="4">
        <v>45251</v>
      </c>
    </row>
    <row r="1179" spans="1:5" x14ac:dyDescent="0.25">
      <c r="A1179" s="1" t="str">
        <f>"ALL SEASONS WINDOWS &amp; CONSERVATORIES LTD"</f>
        <v>ALL SEASONS WINDOWS &amp; CONSERVATORIES LTD</v>
      </c>
      <c r="B1179" t="str">
        <f>"09389591"</f>
        <v>09389591</v>
      </c>
      <c r="C1179" s="2" t="s">
        <v>176</v>
      </c>
      <c r="D1179" s="2" t="s">
        <v>58</v>
      </c>
      <c r="E1179" s="4">
        <v>45253</v>
      </c>
    </row>
    <row r="1180" spans="1:5" x14ac:dyDescent="0.25">
      <c r="A1180" s="1" t="str">
        <f>"SHOREMEKUN LTD"</f>
        <v>SHOREMEKUN LTD</v>
      </c>
      <c r="B1180" t="str">
        <f>"11720637"</f>
        <v>11720637</v>
      </c>
      <c r="C1180" s="2" t="s">
        <v>330</v>
      </c>
      <c r="D1180" s="2" t="s">
        <v>58</v>
      </c>
      <c r="E1180" s="4">
        <v>45233</v>
      </c>
    </row>
    <row r="1181" spans="1:5" x14ac:dyDescent="0.25">
      <c r="A1181" s="1" t="str">
        <f>"LUMO LIQUIDS LTD"</f>
        <v>LUMO LIQUIDS LTD</v>
      </c>
      <c r="B1181" t="str">
        <f>"09232249"</f>
        <v>09232249</v>
      </c>
      <c r="C1181" s="2" t="s">
        <v>100</v>
      </c>
      <c r="D1181" s="2" t="s">
        <v>37</v>
      </c>
      <c r="E1181" s="4">
        <v>45233</v>
      </c>
    </row>
    <row r="1182" spans="1:5" x14ac:dyDescent="0.25">
      <c r="A1182" s="1" t="str">
        <f>"BROWN AND SON INTERIORS LTD"</f>
        <v>BROWN AND SON INTERIORS LTD</v>
      </c>
      <c r="B1182" t="str">
        <f>"12002453"</f>
        <v>12002453</v>
      </c>
      <c r="C1182" s="2" t="s">
        <v>100</v>
      </c>
      <c r="D1182" s="2" t="s">
        <v>37</v>
      </c>
      <c r="E1182" s="4">
        <v>45233</v>
      </c>
    </row>
    <row r="1183" spans="1:5" x14ac:dyDescent="0.25">
      <c r="A1183" s="1" t="s">
        <v>849</v>
      </c>
      <c r="B1183">
        <v>9386665</v>
      </c>
      <c r="C1183" s="2" t="s">
        <v>100</v>
      </c>
      <c r="D1183" s="2" t="s">
        <v>37</v>
      </c>
      <c r="E1183" s="4">
        <v>45250</v>
      </c>
    </row>
    <row r="1184" spans="1:5" x14ac:dyDescent="0.25">
      <c r="A1184" s="1" t="s">
        <v>451</v>
      </c>
      <c r="B1184">
        <v>13656156</v>
      </c>
      <c r="C1184" s="2" t="s">
        <v>12</v>
      </c>
      <c r="D1184" s="2" t="s">
        <v>13</v>
      </c>
      <c r="E1184" s="4">
        <v>45230</v>
      </c>
    </row>
    <row r="1185" spans="1:5" x14ac:dyDescent="0.25">
      <c r="A1185" s="1" t="str">
        <f>"HOLT BRIDGE LTD"</f>
        <v>HOLT BRIDGE LTD</v>
      </c>
      <c r="B1185" t="str">
        <f>"12602907"</f>
        <v>12602907</v>
      </c>
      <c r="C1185" s="2" t="s">
        <v>12</v>
      </c>
      <c r="D1185" s="2" t="s">
        <v>13</v>
      </c>
      <c r="E1185" s="4">
        <v>45237</v>
      </c>
    </row>
    <row r="1186" spans="1:5" x14ac:dyDescent="0.25">
      <c r="A1186" s="1" t="str">
        <f>"FAT BOYZ PIZZA AND GRILL LTD"</f>
        <v>FAT BOYZ PIZZA AND GRILL LTD</v>
      </c>
      <c r="B1186" t="str">
        <f>"13805756"</f>
        <v>13805756</v>
      </c>
      <c r="C1186" s="2" t="s">
        <v>12</v>
      </c>
      <c r="D1186" s="2" t="s">
        <v>13</v>
      </c>
      <c r="E1186" s="4">
        <v>45237</v>
      </c>
    </row>
    <row r="1187" spans="1:5" x14ac:dyDescent="0.25">
      <c r="A1187" s="1" t="str">
        <f>"MOONRAKER MASONRY LIMITED"</f>
        <v>MOONRAKER MASONRY LIMITED</v>
      </c>
      <c r="B1187" t="str">
        <f>"04118108"</f>
        <v>04118108</v>
      </c>
      <c r="C1187" s="2" t="s">
        <v>12</v>
      </c>
      <c r="D1187" s="2" t="s">
        <v>13</v>
      </c>
      <c r="E1187" s="4">
        <v>45240</v>
      </c>
    </row>
    <row r="1188" spans="1:5" x14ac:dyDescent="0.25">
      <c r="A1188" s="1" t="str">
        <f>"GREEN LEAF GARDEN BUILDINGS LTD"</f>
        <v>GREEN LEAF GARDEN BUILDINGS LTD</v>
      </c>
      <c r="B1188" t="str">
        <f>"12618663"</f>
        <v>12618663</v>
      </c>
      <c r="C1188" s="2" t="s">
        <v>12</v>
      </c>
      <c r="D1188" s="2" t="s">
        <v>13</v>
      </c>
      <c r="E1188" s="4">
        <v>45244</v>
      </c>
    </row>
    <row r="1189" spans="1:5" x14ac:dyDescent="0.25">
      <c r="A1189" s="1" t="s">
        <v>626</v>
      </c>
      <c r="B1189">
        <v>14142137</v>
      </c>
      <c r="C1189" s="2" t="s">
        <v>12</v>
      </c>
      <c r="D1189" s="2" t="s">
        <v>13</v>
      </c>
      <c r="E1189" s="4">
        <v>45251</v>
      </c>
    </row>
    <row r="1190" spans="1:5" x14ac:dyDescent="0.25">
      <c r="A1190" s="1" t="str">
        <f>"CARE2RECRUIT LIMITED"</f>
        <v>CARE2RECRUIT LIMITED</v>
      </c>
      <c r="B1190" t="str">
        <f>"10477340"</f>
        <v>10477340</v>
      </c>
      <c r="C1190" s="2" t="s">
        <v>12</v>
      </c>
      <c r="D1190" s="2" t="s">
        <v>13</v>
      </c>
      <c r="E1190" s="4">
        <v>45254</v>
      </c>
    </row>
    <row r="1191" spans="1:5" x14ac:dyDescent="0.25">
      <c r="A1191" s="1" t="str">
        <f>"AMH CONTRACTS AND FLOORING LIMITED"</f>
        <v>AMH CONTRACTS AND FLOORING LIMITED</v>
      </c>
      <c r="B1191" t="str">
        <f>"12260600"</f>
        <v>12260600</v>
      </c>
      <c r="C1191" s="2" t="s">
        <v>12</v>
      </c>
      <c r="D1191" s="2" t="s">
        <v>13</v>
      </c>
      <c r="E1191" s="4">
        <v>45257</v>
      </c>
    </row>
    <row r="1192" spans="1:5" x14ac:dyDescent="0.25">
      <c r="A1192" s="1" t="s">
        <v>519</v>
      </c>
      <c r="B1192">
        <v>6551192</v>
      </c>
      <c r="C1192" s="2" t="s">
        <v>72</v>
      </c>
      <c r="D1192" s="2" t="s">
        <v>73</v>
      </c>
      <c r="E1192" s="4">
        <v>45229</v>
      </c>
    </row>
    <row r="1193" spans="1:5" x14ac:dyDescent="0.25">
      <c r="A1193" s="1" t="str">
        <f>"CURRY-TO-GO LTD"</f>
        <v>CURRY-TO-GO LTD</v>
      </c>
      <c r="B1193" t="str">
        <f>"12361554"</f>
        <v>12361554</v>
      </c>
      <c r="C1193" s="2" t="s">
        <v>72</v>
      </c>
      <c r="D1193" s="2" t="s">
        <v>73</v>
      </c>
      <c r="E1193" s="4">
        <v>45230</v>
      </c>
    </row>
    <row r="1194" spans="1:5" x14ac:dyDescent="0.25">
      <c r="A1194" s="1" t="str">
        <f>"E &amp; S CARS LIMITED"</f>
        <v>E &amp; S CARS LIMITED</v>
      </c>
      <c r="B1194" t="str">
        <f>"09982878"</f>
        <v>09982878</v>
      </c>
      <c r="C1194" s="2" t="s">
        <v>72</v>
      </c>
      <c r="D1194" s="2" t="s">
        <v>73</v>
      </c>
      <c r="E1194" s="4">
        <v>45230</v>
      </c>
    </row>
    <row r="1195" spans="1:5" x14ac:dyDescent="0.25">
      <c r="A1195" s="1" t="str">
        <f>"BRIGGS COACHES LIMITED"</f>
        <v>BRIGGS COACHES LIMITED</v>
      </c>
      <c r="B1195" t="str">
        <f>"05289351"</f>
        <v>05289351</v>
      </c>
      <c r="C1195" s="2" t="s">
        <v>72</v>
      </c>
      <c r="D1195" s="2" t="s">
        <v>73</v>
      </c>
      <c r="E1195" s="4">
        <v>45233</v>
      </c>
    </row>
    <row r="1196" spans="1:5" x14ac:dyDescent="0.25">
      <c r="A1196" s="1" t="str">
        <f>"RODERICK PUGH MARKETING LIMITED"</f>
        <v>RODERICK PUGH MARKETING LIMITED</v>
      </c>
      <c r="B1196" t="str">
        <f>"08299973"</f>
        <v>08299973</v>
      </c>
      <c r="C1196" s="2" t="s">
        <v>72</v>
      </c>
      <c r="D1196" s="2" t="s">
        <v>73</v>
      </c>
      <c r="E1196" s="4">
        <v>45236</v>
      </c>
    </row>
    <row r="1197" spans="1:5" x14ac:dyDescent="0.25">
      <c r="A1197" s="1" t="str">
        <f>"ECTON HOUSE PEMBROKESHIRE LIMITED"</f>
        <v>ECTON HOUSE PEMBROKESHIRE LIMITED</v>
      </c>
      <c r="B1197" t="str">
        <f>"11930321"</f>
        <v>11930321</v>
      </c>
      <c r="C1197" s="2" t="s">
        <v>72</v>
      </c>
      <c r="D1197" s="2" t="s">
        <v>73</v>
      </c>
      <c r="E1197" s="4">
        <v>45236</v>
      </c>
    </row>
    <row r="1198" spans="1:5" x14ac:dyDescent="0.25">
      <c r="A1198" s="1" t="str">
        <f>"CREATIVE HOSPITALITY HOLDINGS (SWANSEA) LIMITED"</f>
        <v>CREATIVE HOSPITALITY HOLDINGS (SWANSEA) LIMITED</v>
      </c>
      <c r="B1198" t="str">
        <f>"13309735"</f>
        <v>13309735</v>
      </c>
      <c r="C1198" s="2" t="s">
        <v>72</v>
      </c>
      <c r="D1198" s="2" t="s">
        <v>73</v>
      </c>
      <c r="E1198" s="4">
        <v>45237</v>
      </c>
    </row>
    <row r="1199" spans="1:5" x14ac:dyDescent="0.25">
      <c r="A1199" s="1" t="str">
        <f>"VICTORIA GADGET &amp; GROCERY LTD"</f>
        <v>VICTORIA GADGET &amp; GROCERY LTD</v>
      </c>
      <c r="B1199" t="str">
        <f>"12643367"</f>
        <v>12643367</v>
      </c>
      <c r="C1199" s="2" t="s">
        <v>72</v>
      </c>
      <c r="D1199" s="2" t="s">
        <v>73</v>
      </c>
      <c r="E1199" s="4">
        <v>45238</v>
      </c>
    </row>
    <row r="1200" spans="1:5" x14ac:dyDescent="0.25">
      <c r="A1200" s="1" t="str">
        <f>"LITTLE NIPPERS DAY NURSERY LIMITED"</f>
        <v>LITTLE NIPPERS DAY NURSERY LIMITED</v>
      </c>
      <c r="B1200" t="str">
        <f>"09614274"</f>
        <v>09614274</v>
      </c>
      <c r="C1200" s="2" t="s">
        <v>72</v>
      </c>
      <c r="D1200" s="2" t="s">
        <v>73</v>
      </c>
      <c r="E1200" s="4">
        <v>45239</v>
      </c>
    </row>
    <row r="1201" spans="1:5" x14ac:dyDescent="0.25">
      <c r="A1201" s="1" t="str">
        <f>"JNH CLEANING LTD"</f>
        <v>JNH CLEANING LTD</v>
      </c>
      <c r="B1201" t="str">
        <f>"09469265"</f>
        <v>09469265</v>
      </c>
      <c r="C1201" s="2" t="s">
        <v>72</v>
      </c>
      <c r="D1201" s="2" t="s">
        <v>73</v>
      </c>
      <c r="E1201" s="4">
        <v>45244</v>
      </c>
    </row>
    <row r="1202" spans="1:5" x14ac:dyDescent="0.25">
      <c r="A1202" s="1" t="str">
        <f>"BIDE BOXES LIMITED"</f>
        <v>BIDE BOXES LIMITED</v>
      </c>
      <c r="B1202" t="str">
        <f>"12782190"</f>
        <v>12782190</v>
      </c>
      <c r="C1202" s="2" t="s">
        <v>72</v>
      </c>
      <c r="D1202" s="2" t="s">
        <v>73</v>
      </c>
      <c r="E1202" s="4">
        <v>45245</v>
      </c>
    </row>
    <row r="1203" spans="1:5" x14ac:dyDescent="0.25">
      <c r="A1203" s="1" t="s">
        <v>833</v>
      </c>
      <c r="B1203">
        <v>10196015</v>
      </c>
      <c r="C1203" s="2" t="s">
        <v>72</v>
      </c>
      <c r="D1203" s="2" t="s">
        <v>73</v>
      </c>
      <c r="E1203" s="4">
        <v>45246</v>
      </c>
    </row>
    <row r="1204" spans="1:5" x14ac:dyDescent="0.25">
      <c r="A1204" s="1" t="s">
        <v>753</v>
      </c>
      <c r="B1204" t="s">
        <v>754</v>
      </c>
      <c r="C1204" s="2" t="s">
        <v>72</v>
      </c>
      <c r="D1204" s="2" t="s">
        <v>73</v>
      </c>
      <c r="E1204" s="4">
        <v>45250</v>
      </c>
    </row>
    <row r="1205" spans="1:5" x14ac:dyDescent="0.25">
      <c r="A1205" s="1" t="str">
        <f>"DAB HAULAGE LIMITED"</f>
        <v>DAB HAULAGE LIMITED</v>
      </c>
      <c r="B1205" t="str">
        <f>"12717983"</f>
        <v>12717983</v>
      </c>
      <c r="C1205" s="2" t="s">
        <v>72</v>
      </c>
      <c r="D1205" s="2" t="s">
        <v>73</v>
      </c>
      <c r="E1205" s="4">
        <v>45250</v>
      </c>
    </row>
    <row r="1206" spans="1:5" x14ac:dyDescent="0.25">
      <c r="A1206" s="1" t="str">
        <f>"PRIDE OF LIONS LTD"</f>
        <v>PRIDE OF LIONS LTD</v>
      </c>
      <c r="B1206" t="str">
        <f>"12418042"</f>
        <v>12418042</v>
      </c>
      <c r="C1206" s="2" t="s">
        <v>72</v>
      </c>
      <c r="D1206" s="2" t="s">
        <v>73</v>
      </c>
      <c r="E1206" s="4">
        <v>45253</v>
      </c>
    </row>
    <row r="1207" spans="1:5" x14ac:dyDescent="0.25">
      <c r="A1207" s="1" t="str">
        <f>"EASTON REMOVALS LIMITED"</f>
        <v>EASTON REMOVALS LIMITED</v>
      </c>
      <c r="B1207" t="str">
        <f>"09379803"</f>
        <v>09379803</v>
      </c>
      <c r="C1207" s="2" t="s">
        <v>72</v>
      </c>
      <c r="D1207" s="2" t="s">
        <v>73</v>
      </c>
      <c r="E1207" s="4">
        <v>45254</v>
      </c>
    </row>
    <row r="1208" spans="1:5" x14ac:dyDescent="0.25">
      <c r="A1208" s="1" t="str">
        <f>"J D COOLING SYSTEMS LIMITED"</f>
        <v>J D COOLING SYSTEMS LIMITED</v>
      </c>
      <c r="B1208" t="str">
        <f>"02888433"</f>
        <v>02888433</v>
      </c>
      <c r="C1208" s="2" t="s">
        <v>48</v>
      </c>
      <c r="D1208" s="2" t="s">
        <v>49</v>
      </c>
      <c r="E1208" s="4">
        <v>45223</v>
      </c>
    </row>
    <row r="1209" spans="1:5" x14ac:dyDescent="0.25">
      <c r="A1209" s="1" t="str">
        <f>"J D COOLING SYSTEMS LIMITED"</f>
        <v>J D COOLING SYSTEMS LIMITED</v>
      </c>
      <c r="B1209" t="str">
        <f>"02888433"</f>
        <v>02888433</v>
      </c>
      <c r="C1209" s="2" t="s">
        <v>48</v>
      </c>
      <c r="D1209" s="2" t="s">
        <v>49</v>
      </c>
      <c r="E1209" s="4">
        <v>45232</v>
      </c>
    </row>
    <row r="1210" spans="1:5" x14ac:dyDescent="0.25">
      <c r="A1210" s="1" t="str">
        <f>"J D COOLING CONTROLLED ATMOSPHERE TECHNOLOGIES LIMITED"</f>
        <v>J D COOLING CONTROLLED ATMOSPHERE TECHNOLOGIES LIMITED</v>
      </c>
      <c r="B1210" t="str">
        <f>"12991943"</f>
        <v>12991943</v>
      </c>
      <c r="C1210" s="2" t="s">
        <v>48</v>
      </c>
      <c r="D1210" s="2" t="s">
        <v>49</v>
      </c>
      <c r="E1210" s="4">
        <v>45239</v>
      </c>
    </row>
    <row r="1211" spans="1:5" x14ac:dyDescent="0.25">
      <c r="A1211" s="1" t="str">
        <f>"WELLINGTON CONSTRUCTION LIMITED"</f>
        <v>WELLINGTON CONSTRUCTION LIMITED</v>
      </c>
      <c r="B1211" t="str">
        <f>"02425925"</f>
        <v>02425925</v>
      </c>
      <c r="C1211" s="2" t="s">
        <v>48</v>
      </c>
      <c r="D1211" s="2" t="s">
        <v>49</v>
      </c>
      <c r="E1211" s="4">
        <v>45239</v>
      </c>
    </row>
    <row r="1212" spans="1:5" x14ac:dyDescent="0.25">
      <c r="A1212" s="1" t="str">
        <f>"HEMINGSTONE LTD"</f>
        <v>HEMINGSTONE LTD</v>
      </c>
      <c r="B1212" t="str">
        <f>"04212671"</f>
        <v>04212671</v>
      </c>
      <c r="C1212" s="2" t="s">
        <v>48</v>
      </c>
      <c r="D1212" s="2" t="s">
        <v>49</v>
      </c>
      <c r="E1212" s="4">
        <v>45251</v>
      </c>
    </row>
    <row r="1213" spans="1:5" x14ac:dyDescent="0.25">
      <c r="A1213" s="1" t="str">
        <f>"GLIBBERY MAINTENANCE LIMITED"</f>
        <v>GLIBBERY MAINTENANCE LIMITED</v>
      </c>
      <c r="B1213" t="str">
        <f>"06777176"</f>
        <v>06777176</v>
      </c>
      <c r="C1213" s="2" t="s">
        <v>308</v>
      </c>
      <c r="D1213" s="2" t="s">
        <v>7</v>
      </c>
      <c r="E1213" s="4">
        <v>45231</v>
      </c>
    </row>
    <row r="1214" spans="1:5" x14ac:dyDescent="0.25">
      <c r="A1214" s="1" t="str">
        <f>"NEMETOS GROUP UK LIMITED"</f>
        <v>NEMETOS GROUP UK LIMITED</v>
      </c>
      <c r="B1214" t="str">
        <f>"11908041"</f>
        <v>11908041</v>
      </c>
      <c r="C1214" s="2" t="s">
        <v>308</v>
      </c>
      <c r="D1214" s="2" t="s">
        <v>7</v>
      </c>
      <c r="E1214" s="4">
        <v>45238</v>
      </c>
    </row>
    <row r="1215" spans="1:5" x14ac:dyDescent="0.25">
      <c r="A1215" s="1" t="str">
        <f>"READY STEADY GO! PRESCHOOL (BROMLEY)"</f>
        <v>READY STEADY GO! PRESCHOOL (BROMLEY)</v>
      </c>
      <c r="B1215" t="str">
        <f>"13133553"</f>
        <v>13133553</v>
      </c>
      <c r="C1215" s="2" t="s">
        <v>308</v>
      </c>
      <c r="D1215" s="2" t="s">
        <v>7</v>
      </c>
      <c r="E1215" s="4">
        <v>45246</v>
      </c>
    </row>
    <row r="1216" spans="1:5" x14ac:dyDescent="0.25">
      <c r="A1216" s="1" t="s">
        <v>428</v>
      </c>
      <c r="B1216">
        <v>8011172</v>
      </c>
      <c r="C1216" s="2" t="s">
        <v>95</v>
      </c>
      <c r="D1216" s="2" t="s">
        <v>92</v>
      </c>
      <c r="E1216" s="4">
        <v>45226</v>
      </c>
    </row>
    <row r="1217" spans="1:5" x14ac:dyDescent="0.25">
      <c r="A1217" s="1" t="str">
        <f>"LIME DESIGN SOLUTIONS LIMITED"</f>
        <v>LIME DESIGN SOLUTIONS LIMITED</v>
      </c>
      <c r="B1217" t="str">
        <f>"05071654"</f>
        <v>05071654</v>
      </c>
      <c r="C1217" s="2" t="s">
        <v>95</v>
      </c>
      <c r="D1217" s="2" t="s">
        <v>92</v>
      </c>
      <c r="E1217" s="4">
        <v>45237</v>
      </c>
    </row>
    <row r="1218" spans="1:5" x14ac:dyDescent="0.25">
      <c r="A1218" s="1" t="str">
        <f>"W.G. EATON LIMITED"</f>
        <v>W.G. EATON LIMITED</v>
      </c>
      <c r="B1218" t="str">
        <f>"00402702"</f>
        <v>00402702</v>
      </c>
      <c r="C1218" s="2" t="s">
        <v>95</v>
      </c>
      <c r="D1218" s="2" t="s">
        <v>92</v>
      </c>
      <c r="E1218" s="4">
        <v>45237</v>
      </c>
    </row>
    <row r="1219" spans="1:5" x14ac:dyDescent="0.25">
      <c r="A1219" s="1" t="str">
        <f>"MAXISTAFF LIMITED"</f>
        <v>MAXISTAFF LIMITED</v>
      </c>
      <c r="B1219" t="str">
        <f>"04467344"</f>
        <v>04467344</v>
      </c>
      <c r="C1219" s="2" t="s">
        <v>95</v>
      </c>
      <c r="D1219" s="2" t="s">
        <v>92</v>
      </c>
      <c r="E1219" s="4">
        <v>45237</v>
      </c>
    </row>
    <row r="1220" spans="1:5" x14ac:dyDescent="0.25">
      <c r="A1220" s="1" t="s">
        <v>838</v>
      </c>
      <c r="B1220">
        <v>9195845</v>
      </c>
      <c r="C1220" s="2" t="s">
        <v>95</v>
      </c>
      <c r="D1220" s="2" t="s">
        <v>92</v>
      </c>
      <c r="E1220" s="4">
        <v>45250</v>
      </c>
    </row>
    <row r="1221" spans="1:5" x14ac:dyDescent="0.25">
      <c r="A1221" s="1" t="s">
        <v>498</v>
      </c>
      <c r="B1221">
        <v>10638403</v>
      </c>
      <c r="C1221" s="2" t="s">
        <v>347</v>
      </c>
      <c r="D1221" s="2" t="s">
        <v>26</v>
      </c>
      <c r="E1221" s="4">
        <v>45225</v>
      </c>
    </row>
    <row r="1222" spans="1:5" x14ac:dyDescent="0.25">
      <c r="A1222" s="1" t="str">
        <f>"JG CREATIVE COMMUNICATIONS LIMITED"</f>
        <v>JG CREATIVE COMMUNICATIONS LIMITED</v>
      </c>
      <c r="B1222" t="str">
        <f>"08899067"</f>
        <v>08899067</v>
      </c>
      <c r="C1222" s="2" t="s">
        <v>347</v>
      </c>
      <c r="D1222" s="2" t="s">
        <v>26</v>
      </c>
      <c r="E1222" s="4">
        <v>45244</v>
      </c>
    </row>
    <row r="1223" spans="1:5" x14ac:dyDescent="0.25">
      <c r="A1223" s="1" t="s">
        <v>685</v>
      </c>
      <c r="B1223">
        <v>12336132</v>
      </c>
      <c r="C1223" s="2" t="s">
        <v>347</v>
      </c>
      <c r="D1223" s="2" t="s">
        <v>26</v>
      </c>
      <c r="E1223" s="4">
        <v>45246</v>
      </c>
    </row>
    <row r="1224" spans="1:5" x14ac:dyDescent="0.25">
      <c r="A1224" s="1" t="s">
        <v>402</v>
      </c>
      <c r="B1224">
        <v>10990978</v>
      </c>
      <c r="C1224" s="2" t="s">
        <v>250</v>
      </c>
      <c r="D1224" s="2" t="s">
        <v>356</v>
      </c>
      <c r="E1224" s="4">
        <v>45210</v>
      </c>
    </row>
    <row r="1225" spans="1:5" x14ac:dyDescent="0.25">
      <c r="A1225" s="1" t="str">
        <f>"IT DUDE LTD"</f>
        <v>IT DUDE LTD</v>
      </c>
      <c r="B1225" t="str">
        <f>"08626677"</f>
        <v>08626677</v>
      </c>
      <c r="C1225" s="2" t="s">
        <v>250</v>
      </c>
      <c r="D1225" s="2" t="s">
        <v>7</v>
      </c>
      <c r="E1225" s="4">
        <v>45232</v>
      </c>
    </row>
    <row r="1226" spans="1:5" x14ac:dyDescent="0.25">
      <c r="A1226" s="1" t="str">
        <f>"AB GLOBAL ENTERPRISE LTD"</f>
        <v>AB GLOBAL ENTERPRISE LTD</v>
      </c>
      <c r="B1226" t="str">
        <f>"11511168"</f>
        <v>11511168</v>
      </c>
      <c r="C1226" s="2" t="s">
        <v>328</v>
      </c>
      <c r="D1226" s="2" t="s">
        <v>329</v>
      </c>
      <c r="E1226" s="4">
        <v>45238</v>
      </c>
    </row>
    <row r="1227" spans="1:5" x14ac:dyDescent="0.25">
      <c r="A1227" s="1" t="str">
        <f>"CHOCOBON LTD"</f>
        <v>CHOCOBON LTD</v>
      </c>
      <c r="B1227" t="str">
        <f>"11662765"</f>
        <v>11662765</v>
      </c>
      <c r="C1227" s="2" t="s">
        <v>328</v>
      </c>
      <c r="D1227" s="2" t="s">
        <v>329</v>
      </c>
      <c r="E1227" s="4">
        <v>45238</v>
      </c>
    </row>
    <row r="1228" spans="1:5" x14ac:dyDescent="0.25">
      <c r="A1228" s="1" t="str">
        <f>"ME INVESTMENTS LIMITED"</f>
        <v>ME INVESTMENTS LIMITED</v>
      </c>
      <c r="B1228" t="str">
        <f>"11070097"</f>
        <v>11070097</v>
      </c>
      <c r="C1228" s="2" t="s">
        <v>328</v>
      </c>
      <c r="D1228" s="2" t="s">
        <v>329</v>
      </c>
      <c r="E1228" s="4">
        <v>45239</v>
      </c>
    </row>
    <row r="1229" spans="1:5" x14ac:dyDescent="0.25">
      <c r="A1229" s="1" t="str">
        <f>"ACUMEN LOGISTICS LTD"</f>
        <v>ACUMEN LOGISTICS LTD</v>
      </c>
      <c r="B1229" t="str">
        <f>"11694280"</f>
        <v>11694280</v>
      </c>
      <c r="C1229" s="2" t="s">
        <v>328</v>
      </c>
      <c r="D1229" s="2" t="s">
        <v>329</v>
      </c>
      <c r="E1229" s="4">
        <v>45239</v>
      </c>
    </row>
    <row r="1230" spans="1:5" x14ac:dyDescent="0.25">
      <c r="A1230" s="1" t="str">
        <f>"FLOWING SCREEDS LTD"</f>
        <v>FLOWING SCREEDS LTD</v>
      </c>
      <c r="B1230" t="str">
        <f>"08122352"</f>
        <v>08122352</v>
      </c>
      <c r="C1230" s="2" t="s">
        <v>142</v>
      </c>
      <c r="D1230" s="2" t="s">
        <v>143</v>
      </c>
      <c r="E1230" s="4">
        <v>45238</v>
      </c>
    </row>
    <row r="1231" spans="1:5" x14ac:dyDescent="0.25">
      <c r="A1231" s="1" t="str">
        <f>"EMBERS &amp; COAL LTD"</f>
        <v>EMBERS &amp; COAL LTD</v>
      </c>
      <c r="B1231" t="str">
        <f>"13278998"</f>
        <v>13278998</v>
      </c>
      <c r="C1231" s="2" t="s">
        <v>142</v>
      </c>
      <c r="D1231" s="2" t="s">
        <v>143</v>
      </c>
      <c r="E1231" s="4">
        <v>45238</v>
      </c>
    </row>
    <row r="1232" spans="1:5" x14ac:dyDescent="0.25">
      <c r="A1232" s="1" t="str">
        <f>"OVENMITZ LIMITED"</f>
        <v>OVENMITZ LIMITED</v>
      </c>
      <c r="B1232" t="str">
        <f>"04152475"</f>
        <v>04152475</v>
      </c>
      <c r="C1232" s="2" t="s">
        <v>142</v>
      </c>
      <c r="D1232" s="2" t="s">
        <v>143</v>
      </c>
      <c r="E1232" s="4">
        <v>45238</v>
      </c>
    </row>
    <row r="1233" spans="1:5" x14ac:dyDescent="0.25">
      <c r="A1233" s="1" t="str">
        <f>"QA DISTRIBUTION ANDOVER LIMITED"</f>
        <v>QA DISTRIBUTION ANDOVER LIMITED</v>
      </c>
      <c r="B1233" t="str">
        <f>"11091061"</f>
        <v>11091061</v>
      </c>
      <c r="C1233" s="2" t="s">
        <v>36</v>
      </c>
      <c r="D1233" s="2" t="s">
        <v>37</v>
      </c>
      <c r="E1233" s="4">
        <v>45232</v>
      </c>
    </row>
    <row r="1234" spans="1:5" x14ac:dyDescent="0.25">
      <c r="A1234" s="1" t="s">
        <v>533</v>
      </c>
      <c r="B1234">
        <v>10329360</v>
      </c>
      <c r="C1234" s="2" t="s">
        <v>285</v>
      </c>
      <c r="D1234" s="2" t="s">
        <v>286</v>
      </c>
      <c r="E1234" s="4">
        <v>45230</v>
      </c>
    </row>
    <row r="1235" spans="1:5" x14ac:dyDescent="0.25">
      <c r="A1235" s="1" t="str">
        <f>"SIDESHOW PRODUCTIONS LTD"</f>
        <v>SIDESHOW PRODUCTIONS LTD</v>
      </c>
      <c r="B1235" t="str">
        <f>"11744544"</f>
        <v>11744544</v>
      </c>
      <c r="C1235" s="2" t="s">
        <v>285</v>
      </c>
      <c r="D1235" s="2" t="s">
        <v>286</v>
      </c>
      <c r="E1235" s="4">
        <v>45254</v>
      </c>
    </row>
    <row r="1236" spans="1:5" x14ac:dyDescent="0.25">
      <c r="A1236" s="1" t="s">
        <v>454</v>
      </c>
      <c r="B1236">
        <v>11230889</v>
      </c>
      <c r="C1236" s="2" t="s">
        <v>298</v>
      </c>
      <c r="D1236" s="2" t="s">
        <v>7</v>
      </c>
      <c r="E1236" s="4">
        <v>45216</v>
      </c>
    </row>
    <row r="1237" spans="1:5" x14ac:dyDescent="0.25">
      <c r="A1237" s="1" t="str">
        <f>"DYNO DATA LIMITED"</f>
        <v>DYNO DATA LIMITED</v>
      </c>
      <c r="B1237" t="str">
        <f>"09651993"</f>
        <v>09651993</v>
      </c>
      <c r="C1237" s="2" t="s">
        <v>273</v>
      </c>
      <c r="D1237" s="2" t="s">
        <v>274</v>
      </c>
      <c r="E1237" s="4">
        <v>45224</v>
      </c>
    </row>
    <row r="1238" spans="1:5" x14ac:dyDescent="0.25">
      <c r="A1238" s="1" t="str">
        <f>"WIGSTON AUTOS LTD"</f>
        <v>WIGSTON AUTOS LTD</v>
      </c>
      <c r="B1238" t="str">
        <f>"10531186"</f>
        <v>10531186</v>
      </c>
      <c r="C1238" s="2" t="s">
        <v>273</v>
      </c>
      <c r="D1238" s="2" t="s">
        <v>274</v>
      </c>
      <c r="E1238" s="4">
        <v>45236</v>
      </c>
    </row>
    <row r="1239" spans="1:5" x14ac:dyDescent="0.25">
      <c r="A1239" s="1" t="str">
        <f>"MOZIMO LIMITED"</f>
        <v>MOZIMO LIMITED</v>
      </c>
      <c r="B1239" t="str">
        <f>"06157376"</f>
        <v>06157376</v>
      </c>
      <c r="C1239" s="2" t="s">
        <v>273</v>
      </c>
      <c r="D1239" s="2" t="s">
        <v>274</v>
      </c>
      <c r="E1239" s="4">
        <v>45244</v>
      </c>
    </row>
    <row r="1240" spans="1:5" x14ac:dyDescent="0.25">
      <c r="A1240" s="1" t="s">
        <v>790</v>
      </c>
      <c r="B1240" t="s">
        <v>791</v>
      </c>
      <c r="C1240" s="2" t="s">
        <v>273</v>
      </c>
      <c r="D1240" s="2" t="s">
        <v>274</v>
      </c>
      <c r="E1240" s="4">
        <v>45244</v>
      </c>
    </row>
    <row r="1241" spans="1:5" x14ac:dyDescent="0.25">
      <c r="A1241" s="1" t="s">
        <v>720</v>
      </c>
      <c r="B1241" t="s">
        <v>721</v>
      </c>
      <c r="C1241" s="2" t="s">
        <v>273</v>
      </c>
      <c r="D1241" s="2" t="s">
        <v>274</v>
      </c>
      <c r="E1241" s="4">
        <v>45246</v>
      </c>
    </row>
    <row r="1242" spans="1:5" x14ac:dyDescent="0.25">
      <c r="A1242" s="1" t="s">
        <v>794</v>
      </c>
      <c r="B1242">
        <v>11305599</v>
      </c>
      <c r="C1242" s="2" t="s">
        <v>273</v>
      </c>
      <c r="D1242" s="2" t="s">
        <v>274</v>
      </c>
      <c r="E1242" s="4">
        <v>45247</v>
      </c>
    </row>
    <row r="1243" spans="1:5" x14ac:dyDescent="0.25">
      <c r="A1243" s="1" t="str">
        <f>"ATOLL DESIGN LIMITED"</f>
        <v>ATOLL DESIGN LIMITED</v>
      </c>
      <c r="B1243" t="str">
        <f>"11409902"</f>
        <v>11409902</v>
      </c>
      <c r="C1243" s="2" t="s">
        <v>22</v>
      </c>
      <c r="D1243" s="2" t="s">
        <v>589</v>
      </c>
      <c r="E1243" s="4">
        <v>45230</v>
      </c>
    </row>
    <row r="1244" spans="1:5" x14ac:dyDescent="0.25">
      <c r="A1244" s="1" t="str">
        <f>"PEAR MARKETING LTD"</f>
        <v>PEAR MARKETING LTD</v>
      </c>
      <c r="B1244" t="str">
        <f>"12443139"</f>
        <v>12443139</v>
      </c>
      <c r="C1244" s="2" t="s">
        <v>22</v>
      </c>
      <c r="D1244" s="2" t="s">
        <v>589</v>
      </c>
      <c r="E1244" s="4">
        <v>45238</v>
      </c>
    </row>
    <row r="1245" spans="1:5" x14ac:dyDescent="0.25">
      <c r="A1245" s="1" t="str">
        <f>"GROUP JML LTD"</f>
        <v>GROUP JML LTD</v>
      </c>
      <c r="B1245" t="str">
        <f>"14085379"</f>
        <v>14085379</v>
      </c>
      <c r="C1245" s="2" t="s">
        <v>22</v>
      </c>
      <c r="D1245" s="2" t="s">
        <v>7</v>
      </c>
      <c r="E1245" s="4">
        <v>45230</v>
      </c>
    </row>
    <row r="1246" spans="1:5" x14ac:dyDescent="0.25">
      <c r="A1246" s="1" t="str">
        <f>"MISO TASTY LTD"</f>
        <v>MISO TASTY LTD</v>
      </c>
      <c r="B1246" t="str">
        <f>"07887611"</f>
        <v>07887611</v>
      </c>
      <c r="C1246" s="2" t="s">
        <v>22</v>
      </c>
      <c r="D1246" s="2" t="s">
        <v>7</v>
      </c>
      <c r="E1246" s="4">
        <v>45230</v>
      </c>
    </row>
    <row r="1247" spans="1:5" x14ac:dyDescent="0.25">
      <c r="A1247" s="1" t="str">
        <f>"THE LINK APP LIMITED"</f>
        <v>THE LINK APP LIMITED</v>
      </c>
      <c r="B1247" t="str">
        <f>"09173056"</f>
        <v>09173056</v>
      </c>
      <c r="C1247" s="2" t="s">
        <v>22</v>
      </c>
      <c r="D1247" s="2" t="s">
        <v>7</v>
      </c>
      <c r="E1247" s="4">
        <v>45243</v>
      </c>
    </row>
    <row r="1248" spans="1:5" x14ac:dyDescent="0.25">
      <c r="A1248" s="1" t="s">
        <v>464</v>
      </c>
      <c r="B1248">
        <v>13980870</v>
      </c>
      <c r="C1248" s="2" t="s">
        <v>237</v>
      </c>
      <c r="D1248" s="2" t="s">
        <v>238</v>
      </c>
      <c r="E1248" s="4">
        <v>45230</v>
      </c>
    </row>
    <row r="1249" spans="1:5" x14ac:dyDescent="0.25">
      <c r="A1249" s="1" t="s">
        <v>466</v>
      </c>
      <c r="B1249">
        <v>11595199</v>
      </c>
      <c r="C1249" s="2" t="s">
        <v>237</v>
      </c>
      <c r="D1249" s="2" t="s">
        <v>238</v>
      </c>
      <c r="E1249" s="4">
        <v>45230</v>
      </c>
    </row>
    <row r="1250" spans="1:5" x14ac:dyDescent="0.25">
      <c r="A1250" s="1" t="str">
        <f>"IZZY PIZZA PENDLEBURY LTD"</f>
        <v>IZZY PIZZA PENDLEBURY LTD</v>
      </c>
      <c r="B1250" t="str">
        <f>"12167357"</f>
        <v>12167357</v>
      </c>
      <c r="C1250" s="2" t="s">
        <v>237</v>
      </c>
      <c r="D1250" s="2" t="s">
        <v>238</v>
      </c>
      <c r="E1250" s="4">
        <v>45232</v>
      </c>
    </row>
    <row r="1251" spans="1:5" x14ac:dyDescent="0.25">
      <c r="A1251" s="1" t="str">
        <f>"GLITTERPROMOTIONS LIMITED"</f>
        <v>GLITTERPROMOTIONS LIMITED</v>
      </c>
      <c r="B1251" t="str">
        <f>"14850400"</f>
        <v>14850400</v>
      </c>
      <c r="C1251" s="2" t="s">
        <v>237</v>
      </c>
      <c r="D1251" s="2" t="s">
        <v>238</v>
      </c>
      <c r="E1251" s="4">
        <v>45238</v>
      </c>
    </row>
    <row r="1252" spans="1:5" x14ac:dyDescent="0.25">
      <c r="A1252" s="1" t="str">
        <f>"PL LOGISTICAL SOLUTIONS LTD"</f>
        <v>PL LOGISTICAL SOLUTIONS LTD</v>
      </c>
      <c r="B1252" t="str">
        <f>"11227340"</f>
        <v>11227340</v>
      </c>
      <c r="C1252" s="2" t="s">
        <v>237</v>
      </c>
      <c r="D1252" s="2" t="s">
        <v>238</v>
      </c>
      <c r="E1252" s="4">
        <v>45239</v>
      </c>
    </row>
    <row r="1253" spans="1:5" x14ac:dyDescent="0.25">
      <c r="A1253" s="1" t="str">
        <f>"PURA PERFORMANCE LTD"</f>
        <v>PURA PERFORMANCE LTD</v>
      </c>
      <c r="B1253" t="str">
        <f>"12924517"</f>
        <v>12924517</v>
      </c>
      <c r="C1253" s="2" t="s">
        <v>237</v>
      </c>
      <c r="D1253" s="2" t="s">
        <v>238</v>
      </c>
      <c r="E1253" s="4">
        <v>45240</v>
      </c>
    </row>
    <row r="1254" spans="1:5" x14ac:dyDescent="0.25">
      <c r="A1254" s="1" t="str">
        <f>"THE PILOT BOAT LTD"</f>
        <v>THE PILOT BOAT LTD</v>
      </c>
      <c r="B1254" t="str">
        <f>"13265228"</f>
        <v>13265228</v>
      </c>
      <c r="C1254" s="2" t="s">
        <v>237</v>
      </c>
      <c r="D1254" s="2" t="s">
        <v>238</v>
      </c>
      <c r="E1254" s="4">
        <v>45244</v>
      </c>
    </row>
    <row r="1255" spans="1:5" x14ac:dyDescent="0.25">
      <c r="A1255" s="1" t="str">
        <f>"BODY360 LTD"</f>
        <v>BODY360 LTD</v>
      </c>
      <c r="B1255" t="str">
        <f>"08221137"</f>
        <v>08221137</v>
      </c>
      <c r="C1255" s="2" t="s">
        <v>237</v>
      </c>
      <c r="D1255" s="2" t="s">
        <v>238</v>
      </c>
      <c r="E1255" s="4">
        <v>45251</v>
      </c>
    </row>
    <row r="1256" spans="1:5" x14ac:dyDescent="0.25">
      <c r="A1256" s="1" t="s">
        <v>569</v>
      </c>
      <c r="B1256">
        <v>3925982</v>
      </c>
      <c r="C1256" s="2" t="s">
        <v>159</v>
      </c>
      <c r="D1256" s="2" t="s">
        <v>167</v>
      </c>
      <c r="E1256" s="4">
        <v>45230</v>
      </c>
    </row>
    <row r="1257" spans="1:5" x14ac:dyDescent="0.25">
      <c r="A1257" s="1" t="str">
        <f>"BEST PRICE RETAIL AND WHOLESALE LIMITED"</f>
        <v>BEST PRICE RETAIL AND WHOLESALE LIMITED</v>
      </c>
      <c r="B1257" t="str">
        <f>"07038451"</f>
        <v>07038451</v>
      </c>
      <c r="C1257" s="2" t="s">
        <v>159</v>
      </c>
      <c r="D1257" s="2" t="s">
        <v>167</v>
      </c>
      <c r="E1257" s="4">
        <v>45237</v>
      </c>
    </row>
    <row r="1258" spans="1:5" x14ac:dyDescent="0.25">
      <c r="A1258" s="1" t="str">
        <f>"EOS RECRUITMENT RG LIMITED"</f>
        <v>EOS RECRUITMENT RG LIMITED</v>
      </c>
      <c r="B1258" t="str">
        <f>"10766612"</f>
        <v>10766612</v>
      </c>
      <c r="C1258" s="2" t="s">
        <v>591</v>
      </c>
      <c r="D1258" s="2" t="s">
        <v>278</v>
      </c>
      <c r="E1258" s="4">
        <v>45233</v>
      </c>
    </row>
    <row r="1259" spans="1:5" x14ac:dyDescent="0.25">
      <c r="A1259" s="1" t="str">
        <f>"HENRY THE LOBSTER LIMITED"</f>
        <v>HENRY THE LOBSTER LIMITED</v>
      </c>
      <c r="B1259" t="str">
        <f>"12293643"</f>
        <v>12293643</v>
      </c>
      <c r="C1259" s="2" t="s">
        <v>277</v>
      </c>
      <c r="D1259" s="2" t="s">
        <v>278</v>
      </c>
      <c r="E1259" s="4">
        <v>45240</v>
      </c>
    </row>
    <row r="1260" spans="1:5" x14ac:dyDescent="0.25">
      <c r="A1260" s="1" t="str">
        <f>"OVEN FRESH LIMITED"</f>
        <v>OVEN FRESH LIMITED</v>
      </c>
      <c r="B1260" t="str">
        <f>"04882181"</f>
        <v>04882181</v>
      </c>
      <c r="C1260" s="2" t="s">
        <v>277</v>
      </c>
      <c r="D1260" s="2" t="s">
        <v>278</v>
      </c>
      <c r="E1260" s="4">
        <v>45243</v>
      </c>
    </row>
    <row r="1261" spans="1:5" x14ac:dyDescent="0.25">
      <c r="A1261" s="1" t="str">
        <f>"BAR AND CLUB RESTAURANT LTD"</f>
        <v>BAR AND CLUB RESTAURANT LTD</v>
      </c>
      <c r="B1261" t="str">
        <f>"09253516"</f>
        <v>09253516</v>
      </c>
      <c r="C1261" s="2" t="s">
        <v>277</v>
      </c>
      <c r="D1261" s="2" t="s">
        <v>278</v>
      </c>
      <c r="E1261" s="4">
        <v>45244</v>
      </c>
    </row>
    <row r="1262" spans="1:5" x14ac:dyDescent="0.25">
      <c r="A1262" s="1" t="str">
        <f>"COVENTRY SALVAGE LIMITED"</f>
        <v>COVENTRY SALVAGE LIMITED</v>
      </c>
      <c r="B1262" t="str">
        <f>"11578733"</f>
        <v>11578733</v>
      </c>
      <c r="C1262" s="2" t="s">
        <v>277</v>
      </c>
      <c r="D1262" s="2" t="s">
        <v>278</v>
      </c>
      <c r="E1262" s="4">
        <v>45244</v>
      </c>
    </row>
    <row r="1263" spans="1:5" x14ac:dyDescent="0.25">
      <c r="A1263" s="1" t="str">
        <f>"AJS FACILITIES LTD"</f>
        <v>AJS FACILITIES LTD</v>
      </c>
      <c r="B1263" t="str">
        <f>"10602486"</f>
        <v>10602486</v>
      </c>
      <c r="C1263" s="2" t="s">
        <v>277</v>
      </c>
      <c r="D1263" s="2" t="s">
        <v>278</v>
      </c>
      <c r="E1263" s="4">
        <v>45245</v>
      </c>
    </row>
    <row r="1264" spans="1:5" x14ac:dyDescent="0.25">
      <c r="A1264" s="1" t="s">
        <v>755</v>
      </c>
      <c r="B1264">
        <v>13090169</v>
      </c>
      <c r="C1264" s="2" t="s">
        <v>277</v>
      </c>
      <c r="D1264" s="2" t="s">
        <v>278</v>
      </c>
      <c r="E1264" s="4">
        <v>45246</v>
      </c>
    </row>
    <row r="1265" spans="1:5" x14ac:dyDescent="0.25">
      <c r="A1265" s="1" t="str">
        <f>"JUSTCLEAN SERVICE LTD"</f>
        <v>JUSTCLEAN SERVICE LTD</v>
      </c>
      <c r="B1265" t="str">
        <f>"10956861"</f>
        <v>10956861</v>
      </c>
      <c r="C1265" s="2" t="s">
        <v>277</v>
      </c>
      <c r="D1265" s="2" t="s">
        <v>278</v>
      </c>
      <c r="E1265" s="4">
        <v>45250</v>
      </c>
    </row>
    <row r="1266" spans="1:5" x14ac:dyDescent="0.25">
      <c r="A1266" s="1" t="str">
        <f>"RAY-BECK CATERING LIMITED"</f>
        <v>RAY-BECK CATERING LIMITED</v>
      </c>
      <c r="B1266" t="str">
        <f>"09499699"</f>
        <v>09499699</v>
      </c>
      <c r="C1266" s="2" t="s">
        <v>350</v>
      </c>
      <c r="D1266" s="2" t="s">
        <v>229</v>
      </c>
      <c r="E1266" s="4">
        <v>45243</v>
      </c>
    </row>
    <row r="1267" spans="1:5" x14ac:dyDescent="0.25">
      <c r="A1267" s="1" t="str">
        <f>"ROSE THORNTON EVENTS LIMITED"</f>
        <v>ROSE THORNTON EVENTS LIMITED</v>
      </c>
      <c r="B1267" t="str">
        <f>"09800825"</f>
        <v>09800825</v>
      </c>
      <c r="C1267" s="2" t="s">
        <v>350</v>
      </c>
      <c r="D1267" s="2" t="s">
        <v>229</v>
      </c>
      <c r="E1267" s="4">
        <v>45257</v>
      </c>
    </row>
    <row r="1268" spans="1:5" x14ac:dyDescent="0.25">
      <c r="A1268" s="1" t="str">
        <f>"HIGHLY EFFICIENT HEATING LIMITED"</f>
        <v>HIGHLY EFFICIENT HEATING LIMITED</v>
      </c>
      <c r="B1268" t="str">
        <f>"07402627"</f>
        <v>07402627</v>
      </c>
      <c r="C1268" s="2" t="s">
        <v>293</v>
      </c>
      <c r="D1268" s="2" t="s">
        <v>227</v>
      </c>
      <c r="E1268" s="4">
        <v>45240</v>
      </c>
    </row>
    <row r="1269" spans="1:5" x14ac:dyDescent="0.25">
      <c r="A1269" s="1" t="s">
        <v>669</v>
      </c>
      <c r="B1269" t="s">
        <v>670</v>
      </c>
      <c r="C1269" s="2" t="s">
        <v>293</v>
      </c>
      <c r="D1269" s="2" t="s">
        <v>227</v>
      </c>
      <c r="E1269" s="4">
        <v>45245</v>
      </c>
    </row>
    <row r="1270" spans="1:5" x14ac:dyDescent="0.25">
      <c r="A1270" s="1" t="s">
        <v>672</v>
      </c>
      <c r="B1270">
        <v>11461033</v>
      </c>
      <c r="C1270" s="2" t="s">
        <v>293</v>
      </c>
      <c r="D1270" s="2" t="s">
        <v>227</v>
      </c>
      <c r="E1270" s="4">
        <v>45247</v>
      </c>
    </row>
    <row r="1271" spans="1:5" x14ac:dyDescent="0.25">
      <c r="A1271" s="1" t="s">
        <v>643</v>
      </c>
      <c r="B1271">
        <v>9896440</v>
      </c>
      <c r="C1271" s="2" t="s">
        <v>293</v>
      </c>
      <c r="D1271" s="2" t="s">
        <v>227</v>
      </c>
      <c r="E1271" s="4">
        <v>45247</v>
      </c>
    </row>
    <row r="1272" spans="1:5" x14ac:dyDescent="0.25">
      <c r="A1272" s="1" t="s">
        <v>792</v>
      </c>
      <c r="B1272">
        <v>11052601</v>
      </c>
      <c r="C1272" s="2" t="s">
        <v>293</v>
      </c>
      <c r="D1272" s="2" t="s">
        <v>227</v>
      </c>
      <c r="E1272" s="4">
        <v>45247</v>
      </c>
    </row>
    <row r="1273" spans="1:5" x14ac:dyDescent="0.25">
      <c r="A1273" s="1" t="s">
        <v>392</v>
      </c>
      <c r="B1273">
        <v>8785263</v>
      </c>
      <c r="C1273" s="2" t="s">
        <v>144</v>
      </c>
      <c r="D1273" s="2" t="s">
        <v>145</v>
      </c>
      <c r="E1273" s="4">
        <v>45202</v>
      </c>
    </row>
    <row r="1274" spans="1:5" x14ac:dyDescent="0.25">
      <c r="A1274" s="1" t="s">
        <v>518</v>
      </c>
      <c r="B1274">
        <v>11088572</v>
      </c>
      <c r="C1274" s="2" t="s">
        <v>144</v>
      </c>
      <c r="D1274" s="2" t="s">
        <v>145</v>
      </c>
      <c r="E1274" s="4">
        <v>45230</v>
      </c>
    </row>
    <row r="1275" spans="1:5" x14ac:dyDescent="0.25">
      <c r="A1275" s="1" t="str">
        <f>"REGAL GROUND CONTRACTORS LIMITED"</f>
        <v>REGAL GROUND CONTRACTORS LIMITED</v>
      </c>
      <c r="B1275" t="str">
        <f>"11784574"</f>
        <v>11784574</v>
      </c>
      <c r="C1275" s="2" t="s">
        <v>144</v>
      </c>
      <c r="D1275" s="2" t="s">
        <v>145</v>
      </c>
      <c r="E1275" s="4">
        <v>45233</v>
      </c>
    </row>
    <row r="1276" spans="1:5" x14ac:dyDescent="0.25">
      <c r="A1276" s="1" t="str">
        <f>"WARNSCALE ENGINEERING LTD"</f>
        <v>WARNSCALE ENGINEERING LTD</v>
      </c>
      <c r="B1276" t="str">
        <f>"10727476"</f>
        <v>10727476</v>
      </c>
      <c r="C1276" s="2" t="s">
        <v>144</v>
      </c>
      <c r="D1276" s="2" t="s">
        <v>145</v>
      </c>
      <c r="E1276" s="4">
        <v>45240</v>
      </c>
    </row>
    <row r="1277" spans="1:5" x14ac:dyDescent="0.25">
      <c r="A1277" s="1" t="str">
        <f>"AGNIESZKA SZYDLIK LTD"</f>
        <v>AGNIESZKA SZYDLIK LTD</v>
      </c>
      <c r="B1277" t="str">
        <f>"07102423"</f>
        <v>07102423</v>
      </c>
      <c r="C1277" s="2" t="s">
        <v>144</v>
      </c>
      <c r="D1277" s="2" t="s">
        <v>145</v>
      </c>
      <c r="E1277" s="4">
        <v>45245</v>
      </c>
    </row>
    <row r="1278" spans="1:5" x14ac:dyDescent="0.25">
      <c r="A1278" s="1" t="str">
        <f>"CITY PROJECT CONSULTING LIMITED"</f>
        <v>CITY PROJECT CONSULTING LIMITED</v>
      </c>
      <c r="B1278" t="str">
        <f>"09775660"</f>
        <v>09775660</v>
      </c>
      <c r="C1278" s="2" t="s">
        <v>144</v>
      </c>
      <c r="D1278" s="2" t="s">
        <v>145</v>
      </c>
      <c r="E1278" s="4">
        <v>45257</v>
      </c>
    </row>
    <row r="1279" spans="1:5" x14ac:dyDescent="0.25">
      <c r="A1279" s="1" t="str">
        <f>"MONTEREY MOTORCYCLE COMPANY LTD"</f>
        <v>MONTEREY MOTORCYCLE COMPANY LTD</v>
      </c>
      <c r="B1279" t="str">
        <f>"08339439"</f>
        <v>08339439</v>
      </c>
      <c r="C1279" s="2" t="s">
        <v>146</v>
      </c>
      <c r="D1279" s="2" t="s">
        <v>603</v>
      </c>
      <c r="E1279" s="4">
        <v>45239</v>
      </c>
    </row>
    <row r="1280" spans="1:5" x14ac:dyDescent="0.25">
      <c r="A1280" s="1" t="s">
        <v>401</v>
      </c>
      <c r="B1280">
        <v>11948088</v>
      </c>
      <c r="C1280" s="2" t="s">
        <v>146</v>
      </c>
      <c r="D1280" s="2" t="s">
        <v>147</v>
      </c>
      <c r="E1280" s="4">
        <v>45223</v>
      </c>
    </row>
    <row r="1281" spans="1:5" x14ac:dyDescent="0.25">
      <c r="A1281" s="1" t="s">
        <v>426</v>
      </c>
      <c r="B1281">
        <v>11583156</v>
      </c>
      <c r="C1281" s="2" t="s">
        <v>146</v>
      </c>
      <c r="D1281" s="2" t="s">
        <v>147</v>
      </c>
      <c r="E1281" s="4">
        <v>45223</v>
      </c>
    </row>
    <row r="1282" spans="1:5" x14ac:dyDescent="0.25">
      <c r="A1282" s="1" t="s">
        <v>462</v>
      </c>
      <c r="B1282">
        <v>9351677</v>
      </c>
      <c r="C1282" s="2" t="s">
        <v>146</v>
      </c>
      <c r="D1282" s="2" t="s">
        <v>147</v>
      </c>
      <c r="E1282" s="4">
        <v>45223</v>
      </c>
    </row>
    <row r="1283" spans="1:5" x14ac:dyDescent="0.25">
      <c r="A1283" s="1" t="s">
        <v>571</v>
      </c>
      <c r="B1283">
        <v>7449840</v>
      </c>
      <c r="C1283" s="2" t="s">
        <v>146</v>
      </c>
      <c r="D1283" s="2" t="s">
        <v>147</v>
      </c>
      <c r="E1283" s="4">
        <v>45224</v>
      </c>
    </row>
    <row r="1284" spans="1:5" x14ac:dyDescent="0.25">
      <c r="A1284" s="1" t="s">
        <v>407</v>
      </c>
      <c r="B1284">
        <v>9597907</v>
      </c>
      <c r="C1284" s="2" t="s">
        <v>146</v>
      </c>
      <c r="D1284" s="2" t="s">
        <v>147</v>
      </c>
      <c r="E1284" s="4">
        <v>45226</v>
      </c>
    </row>
    <row r="1285" spans="1:5" x14ac:dyDescent="0.25">
      <c r="A1285" s="1" t="s">
        <v>537</v>
      </c>
      <c r="B1285">
        <v>9716875</v>
      </c>
      <c r="C1285" s="2" t="s">
        <v>146</v>
      </c>
      <c r="D1285" s="2" t="s">
        <v>147</v>
      </c>
      <c r="E1285" s="4">
        <v>45230</v>
      </c>
    </row>
    <row r="1286" spans="1:5" x14ac:dyDescent="0.25">
      <c r="A1286" s="1" t="s">
        <v>553</v>
      </c>
      <c r="B1286">
        <v>8365181</v>
      </c>
      <c r="C1286" s="2" t="s">
        <v>146</v>
      </c>
      <c r="D1286" s="2" t="s">
        <v>147</v>
      </c>
      <c r="E1286" s="4">
        <v>45230</v>
      </c>
    </row>
    <row r="1287" spans="1:5" x14ac:dyDescent="0.25">
      <c r="A1287" s="1" t="str">
        <f>"SERPENT PROJECTS LTD"</f>
        <v>SERPENT PROJECTS LTD</v>
      </c>
      <c r="B1287" t="str">
        <f>"14214400"</f>
        <v>14214400</v>
      </c>
      <c r="C1287" s="2" t="s">
        <v>146</v>
      </c>
      <c r="D1287" s="2" t="s">
        <v>147</v>
      </c>
      <c r="E1287" s="4">
        <v>45231</v>
      </c>
    </row>
    <row r="1288" spans="1:5" x14ac:dyDescent="0.25">
      <c r="A1288" s="1" t="str">
        <f>"LED BUG LIMITED"</f>
        <v>LED BUG LIMITED</v>
      </c>
      <c r="B1288" t="str">
        <f>"08189014"</f>
        <v>08189014</v>
      </c>
      <c r="C1288" s="2" t="s">
        <v>146</v>
      </c>
      <c r="D1288" s="2" t="s">
        <v>147</v>
      </c>
      <c r="E1288" s="4">
        <v>45231</v>
      </c>
    </row>
    <row r="1289" spans="1:5" x14ac:dyDescent="0.25">
      <c r="A1289" s="1" t="str">
        <f>"UK ECOSMART LIMITED"</f>
        <v>UK ECOSMART LIMITED</v>
      </c>
      <c r="B1289" t="str">
        <f>"13728482"</f>
        <v>13728482</v>
      </c>
      <c r="C1289" s="2" t="s">
        <v>146</v>
      </c>
      <c r="D1289" s="2" t="s">
        <v>147</v>
      </c>
      <c r="E1289" s="4">
        <v>45237</v>
      </c>
    </row>
    <row r="1290" spans="1:5" x14ac:dyDescent="0.25">
      <c r="A1290" s="1" t="str">
        <f>"RAWPREME LTD"</f>
        <v>RAWPREME LTD</v>
      </c>
      <c r="B1290" t="str">
        <f>"11555188"</f>
        <v>11555188</v>
      </c>
      <c r="C1290" s="2" t="s">
        <v>146</v>
      </c>
      <c r="D1290" s="2" t="s">
        <v>147</v>
      </c>
      <c r="E1290" s="4">
        <v>45239</v>
      </c>
    </row>
    <row r="1291" spans="1:5" x14ac:dyDescent="0.25">
      <c r="A1291" s="1" t="str">
        <f>"VNUK BUILDERS LIMITED"</f>
        <v>VNUK BUILDERS LIMITED</v>
      </c>
      <c r="B1291" t="str">
        <f>"12219583"</f>
        <v>12219583</v>
      </c>
      <c r="C1291" s="2" t="s">
        <v>146</v>
      </c>
      <c r="D1291" s="2" t="s">
        <v>147</v>
      </c>
      <c r="E1291" s="4">
        <v>45240</v>
      </c>
    </row>
    <row r="1292" spans="1:5" x14ac:dyDescent="0.25">
      <c r="A1292" s="1" t="str">
        <f>"N FOUZIA LTD"</f>
        <v>N FOUZIA LTD</v>
      </c>
      <c r="B1292" t="str">
        <f>"10998737"</f>
        <v>10998737</v>
      </c>
      <c r="C1292" s="2" t="s">
        <v>146</v>
      </c>
      <c r="D1292" s="2" t="s">
        <v>147</v>
      </c>
      <c r="E1292" s="4">
        <v>45240</v>
      </c>
    </row>
    <row r="1293" spans="1:5" x14ac:dyDescent="0.25">
      <c r="A1293" s="1" t="str">
        <f>"ARC EXTERIORS LIMITED"</f>
        <v>ARC EXTERIORS LIMITED</v>
      </c>
      <c r="B1293" t="str">
        <f>"10613267"</f>
        <v>10613267</v>
      </c>
      <c r="C1293" s="2" t="s">
        <v>146</v>
      </c>
      <c r="D1293" s="2" t="s">
        <v>147</v>
      </c>
      <c r="E1293" s="4">
        <v>45244</v>
      </c>
    </row>
    <row r="1294" spans="1:5" x14ac:dyDescent="0.25">
      <c r="A1294" s="1" t="str">
        <f>"HABIBI (YORKSHIRE) LTD"</f>
        <v>HABIBI (YORKSHIRE) LTD</v>
      </c>
      <c r="B1294" t="str">
        <f>"05708506"</f>
        <v>05708506</v>
      </c>
      <c r="C1294" s="2" t="s">
        <v>146</v>
      </c>
      <c r="D1294" s="2" t="s">
        <v>147</v>
      </c>
      <c r="E1294" s="4">
        <v>45257</v>
      </c>
    </row>
    <row r="1295" spans="1:5" x14ac:dyDescent="0.25">
      <c r="A1295" s="1" t="str">
        <f>"GLOW MEDIA GROUP LIMITED"</f>
        <v>GLOW MEDIA GROUP LIMITED</v>
      </c>
      <c r="B1295" t="str">
        <f>"09961357"</f>
        <v>09961357</v>
      </c>
      <c r="C1295" s="2" t="s">
        <v>254</v>
      </c>
      <c r="D1295" s="2" t="s">
        <v>105</v>
      </c>
      <c r="E1295" s="4">
        <v>45226</v>
      </c>
    </row>
    <row r="1296" spans="1:5" x14ac:dyDescent="0.25">
      <c r="A1296" s="1" t="str">
        <f>"TRESCO CONSTRUCTION LTD"</f>
        <v>TRESCO CONSTRUCTION LTD</v>
      </c>
      <c r="B1296" t="str">
        <f>"07999400"</f>
        <v>07999400</v>
      </c>
      <c r="C1296" s="2" t="s">
        <v>254</v>
      </c>
      <c r="D1296" s="2" t="s">
        <v>105</v>
      </c>
      <c r="E1296" s="4">
        <v>45229</v>
      </c>
    </row>
    <row r="1297" spans="1:5" x14ac:dyDescent="0.25">
      <c r="A1297" s="1" t="str">
        <f>"HARTLEY PROJECTS LTD"</f>
        <v>HARTLEY PROJECTS LTD</v>
      </c>
      <c r="B1297" t="str">
        <f>"14044666"</f>
        <v>14044666</v>
      </c>
      <c r="C1297" s="2" t="s">
        <v>254</v>
      </c>
      <c r="D1297" s="2" t="s">
        <v>105</v>
      </c>
      <c r="E1297" s="4">
        <v>45233</v>
      </c>
    </row>
    <row r="1298" spans="1:5" x14ac:dyDescent="0.25">
      <c r="A1298" s="1" t="str">
        <f>"SP FIXING SERVICES LTD"</f>
        <v>SP FIXING SERVICES LTD</v>
      </c>
      <c r="B1298" t="str">
        <f>"05323615"</f>
        <v>05323615</v>
      </c>
      <c r="C1298" s="2" t="s">
        <v>254</v>
      </c>
      <c r="D1298" s="2" t="s">
        <v>105</v>
      </c>
      <c r="E1298" s="4">
        <v>45236</v>
      </c>
    </row>
    <row r="1299" spans="1:5" x14ac:dyDescent="0.25">
      <c r="A1299" s="1" t="str">
        <f>"TABLETOP GAMING CAFE BARNSLEY LIMITED"</f>
        <v>TABLETOP GAMING CAFE BARNSLEY LIMITED</v>
      </c>
      <c r="B1299" t="str">
        <f>"13780363"</f>
        <v>13780363</v>
      </c>
      <c r="C1299" s="2" t="s">
        <v>254</v>
      </c>
      <c r="D1299" s="2" t="s">
        <v>105</v>
      </c>
      <c r="E1299" s="4">
        <v>45251</v>
      </c>
    </row>
    <row r="1300" spans="1:5" x14ac:dyDescent="0.25">
      <c r="A1300" s="1" t="str">
        <f>"INTEGRATED PRINT SOLUTIONS LIMITED"</f>
        <v>INTEGRATED PRINT SOLUTIONS LIMITED</v>
      </c>
      <c r="B1300" t="str">
        <f>"10456333"</f>
        <v>10456333</v>
      </c>
      <c r="C1300" s="2" t="s">
        <v>77</v>
      </c>
      <c r="D1300" s="2" t="s">
        <v>37</v>
      </c>
      <c r="E1300" s="4">
        <v>45232</v>
      </c>
    </row>
    <row r="1301" spans="1:5" x14ac:dyDescent="0.25">
      <c r="A1301" s="1" t="str">
        <f>"AVO UK LIMITED"</f>
        <v>AVO UK LIMITED</v>
      </c>
      <c r="B1301" t="str">
        <f>"04182161"</f>
        <v>04182161</v>
      </c>
      <c r="C1301" s="2" t="s">
        <v>77</v>
      </c>
      <c r="D1301" s="2" t="s">
        <v>37</v>
      </c>
      <c r="E1301" s="4">
        <v>45244</v>
      </c>
    </row>
    <row r="1302" spans="1:5" x14ac:dyDescent="0.25">
      <c r="A1302" s="1" t="str">
        <f>"LAWRENCE HANNAH LIMITED"</f>
        <v>LAWRENCE HANNAH LIMITED</v>
      </c>
      <c r="B1302" t="str">
        <f>"08216311"</f>
        <v>08216311</v>
      </c>
      <c r="C1302" s="2" t="s">
        <v>77</v>
      </c>
      <c r="D1302" s="2" t="s">
        <v>34</v>
      </c>
      <c r="E1302" s="4">
        <v>45238</v>
      </c>
    </row>
    <row r="1303" spans="1:5" x14ac:dyDescent="0.25">
      <c r="A1303" s="1" t="s">
        <v>538</v>
      </c>
      <c r="B1303">
        <v>3056429</v>
      </c>
      <c r="C1303" s="2" t="s">
        <v>77</v>
      </c>
      <c r="D1303" s="2" t="s">
        <v>7</v>
      </c>
      <c r="E1303" s="4">
        <v>45230</v>
      </c>
    </row>
    <row r="1304" spans="1:5" x14ac:dyDescent="0.25">
      <c r="A1304" s="1" t="str">
        <f>"PIXEL PERSONNEL LTD"</f>
        <v>PIXEL PERSONNEL LTD</v>
      </c>
      <c r="B1304" t="str">
        <f>"11634311"</f>
        <v>11634311</v>
      </c>
      <c r="C1304" s="2" t="s">
        <v>77</v>
      </c>
      <c r="D1304" s="2" t="s">
        <v>7</v>
      </c>
      <c r="E1304" s="4">
        <v>45246</v>
      </c>
    </row>
    <row r="1305" spans="1:5" x14ac:dyDescent="0.25">
      <c r="A1305" s="1" t="str">
        <f>"NIVAURA LTD"</f>
        <v>NIVAURA LTD</v>
      </c>
      <c r="B1305" t="str">
        <f>"10270501"</f>
        <v>10270501</v>
      </c>
      <c r="C1305" s="2" t="s">
        <v>77</v>
      </c>
      <c r="D1305" s="2" t="s">
        <v>7</v>
      </c>
      <c r="E1305" s="4">
        <v>45251</v>
      </c>
    </row>
    <row r="1306" spans="1:5" x14ac:dyDescent="0.25">
      <c r="A1306" s="1" t="s">
        <v>724</v>
      </c>
      <c r="B1306" t="s">
        <v>725</v>
      </c>
      <c r="C1306" s="2" t="s">
        <v>77</v>
      </c>
      <c r="D1306" s="2" t="s">
        <v>52</v>
      </c>
      <c r="E1306" s="4">
        <v>45250</v>
      </c>
    </row>
    <row r="1307" spans="1:5" x14ac:dyDescent="0.25">
      <c r="A1307" s="1" t="s">
        <v>556</v>
      </c>
      <c r="B1307">
        <v>10857542</v>
      </c>
      <c r="C1307" s="2" t="s">
        <v>77</v>
      </c>
      <c r="D1307" s="2" t="s">
        <v>103</v>
      </c>
      <c r="E1307" s="4">
        <v>45225</v>
      </c>
    </row>
    <row r="1308" spans="1:5" x14ac:dyDescent="0.25">
      <c r="A1308" s="1" t="s">
        <v>740</v>
      </c>
      <c r="B1308">
        <v>11390054</v>
      </c>
      <c r="C1308" s="2" t="s">
        <v>77</v>
      </c>
      <c r="D1308" s="2" t="s">
        <v>103</v>
      </c>
      <c r="E1308" s="4">
        <v>45247</v>
      </c>
    </row>
    <row r="1309" spans="1:5" x14ac:dyDescent="0.25">
      <c r="A1309" s="1" t="str">
        <f>"DRESSPLACE BRIDES &amp; MOTHERS LIMITED"</f>
        <v>DRESSPLACE BRIDES &amp; MOTHERS LIMITED</v>
      </c>
      <c r="B1309" t="str">
        <f>"08675118"</f>
        <v>08675118</v>
      </c>
      <c r="C1309" s="2" t="s">
        <v>77</v>
      </c>
      <c r="D1309" s="2" t="s">
        <v>39</v>
      </c>
      <c r="E1309" s="4">
        <v>45230</v>
      </c>
    </row>
    <row r="1310" spans="1:5" x14ac:dyDescent="0.25">
      <c r="A1310" s="1" t="str">
        <f>"BRIDES &amp; MOTHERS OUTLET LTD"</f>
        <v>BRIDES &amp; MOTHERS OUTLET LTD</v>
      </c>
      <c r="B1310" t="str">
        <f>"10525758"</f>
        <v>10525758</v>
      </c>
      <c r="C1310" s="2" t="s">
        <v>77</v>
      </c>
      <c r="D1310" s="2" t="s">
        <v>39</v>
      </c>
      <c r="E1310" s="4">
        <v>45230</v>
      </c>
    </row>
    <row r="1311" spans="1:5" x14ac:dyDescent="0.25">
      <c r="A1311" s="1" t="s">
        <v>657</v>
      </c>
      <c r="B1311">
        <v>5114453</v>
      </c>
      <c r="C1311" s="2" t="s">
        <v>77</v>
      </c>
      <c r="D1311" s="2" t="s">
        <v>39</v>
      </c>
      <c r="E1311" s="4">
        <v>45239</v>
      </c>
    </row>
    <row r="1312" spans="1:5" x14ac:dyDescent="0.25">
      <c r="A1312" s="1" t="s">
        <v>459</v>
      </c>
      <c r="B1312">
        <v>13805941</v>
      </c>
      <c r="C1312" s="2" t="s">
        <v>77</v>
      </c>
      <c r="D1312" s="2" t="s">
        <v>9</v>
      </c>
      <c r="E1312" s="4">
        <v>45225</v>
      </c>
    </row>
    <row r="1313" spans="1:5" x14ac:dyDescent="0.25">
      <c r="A1313" s="1" t="str">
        <f>"SAFE MICROBIAL CONTROL LIMITED"</f>
        <v>SAFE MICROBIAL CONTROL LIMITED</v>
      </c>
      <c r="B1313" t="str">
        <f>"08929973"</f>
        <v>08929973</v>
      </c>
      <c r="C1313" s="2" t="s">
        <v>77</v>
      </c>
      <c r="D1313" s="2" t="s">
        <v>9</v>
      </c>
      <c r="E1313" s="4">
        <v>45239</v>
      </c>
    </row>
    <row r="1314" spans="1:5" x14ac:dyDescent="0.25">
      <c r="A1314" s="1" t="str">
        <f>"PEAK NUTRITION LIMITED"</f>
        <v>PEAK NUTRITION LIMITED</v>
      </c>
      <c r="B1314" t="str">
        <f>"11679365"</f>
        <v>11679365</v>
      </c>
      <c r="C1314" s="2" t="s">
        <v>77</v>
      </c>
      <c r="D1314" s="2" t="s">
        <v>9</v>
      </c>
      <c r="E1314" s="4">
        <v>45243</v>
      </c>
    </row>
    <row r="1315" spans="1:5" x14ac:dyDescent="0.25">
      <c r="A1315" s="1" t="str">
        <f>"PEAK GROUNDWORK LIMITED"</f>
        <v>PEAK GROUNDWORK LIMITED</v>
      </c>
      <c r="B1315" t="str">
        <f>"09746085"</f>
        <v>09746085</v>
      </c>
      <c r="C1315" s="2" t="s">
        <v>77</v>
      </c>
      <c r="D1315" s="2" t="s">
        <v>9</v>
      </c>
      <c r="E1315" s="4">
        <v>45243</v>
      </c>
    </row>
    <row r="1316" spans="1:5" x14ac:dyDescent="0.25">
      <c r="A1316" s="1" t="s">
        <v>377</v>
      </c>
      <c r="B1316">
        <v>10932849</v>
      </c>
      <c r="C1316" s="2" t="s">
        <v>217</v>
      </c>
      <c r="D1316" s="2" t="s">
        <v>218</v>
      </c>
      <c r="E1316" s="4">
        <v>45224</v>
      </c>
    </row>
    <row r="1317" spans="1:5" x14ac:dyDescent="0.25">
      <c r="A1317" s="1" t="str">
        <f>"TALON CLOTHING COMPANY LTD"</f>
        <v>TALON CLOTHING COMPANY LTD</v>
      </c>
      <c r="B1317" t="str">
        <f>"11552005"</f>
        <v>11552005</v>
      </c>
      <c r="C1317" s="2" t="s">
        <v>136</v>
      </c>
      <c r="D1317" s="2" t="s">
        <v>7</v>
      </c>
      <c r="E1317" s="4">
        <v>45232</v>
      </c>
    </row>
    <row r="1318" spans="1:5" x14ac:dyDescent="0.25">
      <c r="A1318" s="1" t="str">
        <f>"ORCHID RETAIL LTD"</f>
        <v>ORCHID RETAIL LTD</v>
      </c>
      <c r="B1318" t="str">
        <f>"11180372"</f>
        <v>11180372</v>
      </c>
      <c r="C1318" s="2" t="s">
        <v>136</v>
      </c>
      <c r="D1318" s="2" t="s">
        <v>7</v>
      </c>
      <c r="E1318" s="4">
        <v>45237</v>
      </c>
    </row>
    <row r="1319" spans="1:5" x14ac:dyDescent="0.25">
      <c r="A1319" s="1" t="str">
        <f>"MT SHELDON LTD"</f>
        <v>MT SHELDON LTD</v>
      </c>
      <c r="B1319" t="str">
        <f>"11359523"</f>
        <v>11359523</v>
      </c>
      <c r="C1319" s="2" t="s">
        <v>136</v>
      </c>
      <c r="D1319" s="2" t="s">
        <v>7</v>
      </c>
      <c r="E1319" s="4">
        <v>45239</v>
      </c>
    </row>
    <row r="1320" spans="1:5" x14ac:dyDescent="0.25">
      <c r="A1320" s="1" t="str">
        <f>"ROYDON SHEET METAL LIMITED"</f>
        <v>ROYDON SHEET METAL LIMITED</v>
      </c>
      <c r="B1320" t="str">
        <f>"05016875"</f>
        <v>05016875</v>
      </c>
      <c r="C1320" s="2" t="s">
        <v>136</v>
      </c>
      <c r="D1320" s="2" t="s">
        <v>7</v>
      </c>
      <c r="E1320" s="4">
        <v>45244</v>
      </c>
    </row>
    <row r="1321" spans="1:5" x14ac:dyDescent="0.25">
      <c r="A1321" s="1" t="str">
        <f>"THEMI CARE LIMITED"</f>
        <v>THEMI CARE LIMITED</v>
      </c>
      <c r="B1321" t="str">
        <f>"06786124"</f>
        <v>06786124</v>
      </c>
      <c r="C1321" s="2" t="s">
        <v>136</v>
      </c>
      <c r="D1321" s="2" t="s">
        <v>7</v>
      </c>
      <c r="E1321" s="4">
        <v>45246</v>
      </c>
    </row>
    <row r="1322" spans="1:5" x14ac:dyDescent="0.25">
      <c r="A1322" s="1" t="str">
        <f>"HEATIC GROUP LIMITED"</f>
        <v>HEATIC GROUP LIMITED</v>
      </c>
      <c r="B1322" t="str">
        <f>"12849963"</f>
        <v>12849963</v>
      </c>
      <c r="C1322" s="2" t="s">
        <v>136</v>
      </c>
      <c r="D1322" s="2" t="s">
        <v>7</v>
      </c>
      <c r="E1322" s="4">
        <v>45251</v>
      </c>
    </row>
    <row r="1323" spans="1:5" x14ac:dyDescent="0.25">
      <c r="A1323" s="1" t="str">
        <f>"GENERAL CATERING SUPPLIES LIMITED"</f>
        <v>GENERAL CATERING SUPPLIES LIMITED</v>
      </c>
      <c r="B1323" t="str">
        <f>"00950540"</f>
        <v>00950540</v>
      </c>
      <c r="C1323" s="2" t="s">
        <v>136</v>
      </c>
      <c r="D1323" s="2" t="s">
        <v>7</v>
      </c>
      <c r="E1323" s="4">
        <v>45253</v>
      </c>
    </row>
    <row r="1324" spans="1:5" x14ac:dyDescent="0.25">
      <c r="A1324" s="1" t="s">
        <v>404</v>
      </c>
      <c r="B1324">
        <v>9559584</v>
      </c>
      <c r="C1324" s="2" t="s">
        <v>82</v>
      </c>
      <c r="D1324" s="2" t="s">
        <v>49</v>
      </c>
      <c r="E1324" s="4">
        <v>45225</v>
      </c>
    </row>
    <row r="1325" spans="1:5" x14ac:dyDescent="0.25">
      <c r="A1325" s="1" t="s">
        <v>400</v>
      </c>
      <c r="B1325">
        <v>13421355</v>
      </c>
      <c r="C1325" s="2" t="s">
        <v>82</v>
      </c>
      <c r="D1325" s="2" t="s">
        <v>49</v>
      </c>
      <c r="E1325" s="4">
        <v>45226</v>
      </c>
    </row>
    <row r="1326" spans="1:5" x14ac:dyDescent="0.25">
      <c r="A1326" s="1" t="s">
        <v>403</v>
      </c>
      <c r="B1326">
        <v>12223513</v>
      </c>
      <c r="C1326" s="2" t="s">
        <v>82</v>
      </c>
      <c r="D1326" s="2" t="s">
        <v>49</v>
      </c>
      <c r="E1326" s="4">
        <v>45226</v>
      </c>
    </row>
    <row r="1327" spans="1:5" x14ac:dyDescent="0.25">
      <c r="A1327" s="1" t="str">
        <f>"SKIVVIES TORBAY HANDYMAN SERVICES LTD"</f>
        <v>SKIVVIES TORBAY HANDYMAN SERVICES LTD</v>
      </c>
      <c r="B1327" t="str">
        <f>"10818858"</f>
        <v>10818858</v>
      </c>
      <c r="C1327" s="2" t="s">
        <v>82</v>
      </c>
      <c r="D1327" s="2" t="s">
        <v>49</v>
      </c>
      <c r="E1327" s="4">
        <v>45230</v>
      </c>
    </row>
    <row r="1328" spans="1:5" x14ac:dyDescent="0.25">
      <c r="A1328" s="1" t="str">
        <f>"TOWN AND COUNTRY PROPERTY AGENTS LIMITED"</f>
        <v>TOWN AND COUNTRY PROPERTY AGENTS LIMITED</v>
      </c>
      <c r="B1328" t="str">
        <f>"13072414"</f>
        <v>13072414</v>
      </c>
      <c r="C1328" s="2" t="s">
        <v>82</v>
      </c>
      <c r="D1328" s="2" t="s">
        <v>49</v>
      </c>
      <c r="E1328" s="4">
        <v>45236</v>
      </c>
    </row>
    <row r="1329" spans="1:5" x14ac:dyDescent="0.25">
      <c r="A1329" s="1" t="str">
        <f>"E.A.C. SERVICES LIMITED"</f>
        <v>E.A.C. SERVICES LIMITED</v>
      </c>
      <c r="B1329" t="str">
        <f>"01867469"</f>
        <v>01867469</v>
      </c>
      <c r="C1329" s="2" t="s">
        <v>82</v>
      </c>
      <c r="D1329" s="2" t="s">
        <v>49</v>
      </c>
      <c r="E1329" s="4">
        <v>45240</v>
      </c>
    </row>
    <row r="1330" spans="1:5" x14ac:dyDescent="0.25">
      <c r="A1330" s="1" t="str">
        <f>"ASW CONSULTANTS LTD"</f>
        <v>ASW CONSULTANTS LTD</v>
      </c>
      <c r="B1330" t="str">
        <f>"10690344"</f>
        <v>10690344</v>
      </c>
      <c r="C1330" s="2" t="s">
        <v>82</v>
      </c>
      <c r="D1330" s="2" t="s">
        <v>49</v>
      </c>
      <c r="E1330" s="4">
        <v>45240</v>
      </c>
    </row>
    <row r="1331" spans="1:5" x14ac:dyDescent="0.25">
      <c r="A1331" s="1" t="str">
        <f>"LLIB LTD"</f>
        <v>LLIB LTD</v>
      </c>
      <c r="B1331" t="str">
        <f>"12525384"</f>
        <v>12525384</v>
      </c>
      <c r="C1331" s="2" t="s">
        <v>82</v>
      </c>
      <c r="D1331" s="2" t="s">
        <v>49</v>
      </c>
      <c r="E1331" s="4">
        <v>45244</v>
      </c>
    </row>
    <row r="1332" spans="1:5" x14ac:dyDescent="0.25">
      <c r="A1332" s="1" t="str">
        <f>"HIDEAWAY DINING LTD"</f>
        <v>HIDEAWAY DINING LTD</v>
      </c>
      <c r="B1332" t="str">
        <f>"11328071"</f>
        <v>11328071</v>
      </c>
      <c r="C1332" s="2" t="s">
        <v>82</v>
      </c>
      <c r="D1332" s="2" t="s">
        <v>49</v>
      </c>
      <c r="E1332" s="4">
        <v>45254</v>
      </c>
    </row>
    <row r="1333" spans="1:5" x14ac:dyDescent="0.25">
      <c r="A1333" s="1" t="s">
        <v>559</v>
      </c>
      <c r="B1333">
        <v>11915788</v>
      </c>
      <c r="C1333" s="2" t="s">
        <v>111</v>
      </c>
      <c r="D1333" s="2" t="s">
        <v>112</v>
      </c>
      <c r="E1333" s="4">
        <v>45226</v>
      </c>
    </row>
    <row r="1334" spans="1:5" x14ac:dyDescent="0.25">
      <c r="A1334" s="1" t="str">
        <f>"LAKE VIEW TRADING LIMITED"</f>
        <v>LAKE VIEW TRADING LIMITED</v>
      </c>
      <c r="B1334" t="str">
        <f>"13502568"</f>
        <v>13502568</v>
      </c>
      <c r="C1334" s="2" t="s">
        <v>111</v>
      </c>
      <c r="D1334" s="2" t="s">
        <v>112</v>
      </c>
      <c r="E1334" s="4">
        <v>45230</v>
      </c>
    </row>
    <row r="1335" spans="1:5" x14ac:dyDescent="0.25">
      <c r="A1335" s="1" t="str">
        <f>"CC ASSOCIATES LIMITED"</f>
        <v>CC ASSOCIATES LIMITED</v>
      </c>
      <c r="B1335" t="str">
        <f>"06042063"</f>
        <v>06042063</v>
      </c>
      <c r="C1335" s="2" t="s">
        <v>111</v>
      </c>
      <c r="D1335" s="2" t="s">
        <v>112</v>
      </c>
      <c r="E1335" s="4">
        <v>45236</v>
      </c>
    </row>
    <row r="1336" spans="1:5" x14ac:dyDescent="0.25">
      <c r="A1336" s="1" t="s">
        <v>652</v>
      </c>
      <c r="B1336">
        <v>12876128</v>
      </c>
      <c r="C1336" s="2" t="s">
        <v>111</v>
      </c>
      <c r="D1336" s="2" t="s">
        <v>112</v>
      </c>
      <c r="E1336" s="4">
        <v>45246</v>
      </c>
    </row>
    <row r="1337" spans="1:5" x14ac:dyDescent="0.25">
      <c r="A1337" s="1" t="str">
        <f>"ELECTRICAL TESTING CERTIFICATION SERVICES LIMITED"</f>
        <v>ELECTRICAL TESTING CERTIFICATION SERVICES LIMITED</v>
      </c>
      <c r="B1337" t="str">
        <f>"10360264"</f>
        <v>10360264</v>
      </c>
      <c r="C1337" s="2" t="s">
        <v>111</v>
      </c>
      <c r="D1337" s="2" t="s">
        <v>112</v>
      </c>
      <c r="E1337" s="4">
        <v>45252</v>
      </c>
    </row>
    <row r="1338" spans="1:5" x14ac:dyDescent="0.25">
      <c r="A1338" s="1" t="str">
        <f>"MACCA GROUP LTD"</f>
        <v>MACCA GROUP LTD</v>
      </c>
      <c r="B1338" t="str">
        <f>"12567981"</f>
        <v>12567981</v>
      </c>
      <c r="C1338" s="2" t="s">
        <v>364</v>
      </c>
      <c r="D1338" s="2" t="s">
        <v>65</v>
      </c>
      <c r="E1338" s="4">
        <v>45238</v>
      </c>
    </row>
    <row r="1339" spans="1:5" x14ac:dyDescent="0.25">
      <c r="A1339" s="1" t="str">
        <f>"STEVRON INDUSTRIAL SUPPLIES LIMITED"</f>
        <v>STEVRON INDUSTRIAL SUPPLIES LIMITED</v>
      </c>
      <c r="B1339" t="str">
        <f>"04393619"</f>
        <v>04393619</v>
      </c>
      <c r="C1339" s="2" t="s">
        <v>364</v>
      </c>
      <c r="D1339" s="2" t="s">
        <v>65</v>
      </c>
      <c r="E1339" s="4">
        <v>45239</v>
      </c>
    </row>
    <row r="1340" spans="1:5" x14ac:dyDescent="0.25">
      <c r="A1340" s="1" t="str">
        <f>"D &amp; G COURTNEY LTD"</f>
        <v>D &amp; G COURTNEY LTD</v>
      </c>
      <c r="B1340" t="str">
        <f>"10413260"</f>
        <v>10413260</v>
      </c>
      <c r="C1340" s="2" t="s">
        <v>364</v>
      </c>
      <c r="D1340" s="2" t="s">
        <v>65</v>
      </c>
      <c r="E1340" s="4">
        <v>45240</v>
      </c>
    </row>
    <row r="1341" spans="1:5" x14ac:dyDescent="0.25">
      <c r="A1341" s="1" t="str">
        <f>"AS (NW) LTD"</f>
        <v>AS (NW) LTD</v>
      </c>
      <c r="B1341" t="str">
        <f>"09721554"</f>
        <v>09721554</v>
      </c>
      <c r="C1341" s="2" t="s">
        <v>364</v>
      </c>
      <c r="D1341" s="2" t="s">
        <v>65</v>
      </c>
      <c r="E1341" s="4">
        <v>45245</v>
      </c>
    </row>
    <row r="1342" spans="1:5" x14ac:dyDescent="0.25">
      <c r="A1342" s="1" t="str">
        <f>"OAKCROFT HOMES LIMITED"</f>
        <v>OAKCROFT HOMES LIMITED</v>
      </c>
      <c r="B1342" t="str">
        <f>"10965062"</f>
        <v>10965062</v>
      </c>
      <c r="C1342" s="2" t="s">
        <v>364</v>
      </c>
      <c r="D1342" s="2" t="s">
        <v>65</v>
      </c>
      <c r="E1342" s="4">
        <v>45252</v>
      </c>
    </row>
    <row r="1343" spans="1:5" x14ac:dyDescent="0.25">
      <c r="A1343" s="1" t="str">
        <f>"FUWA FUWA BRUNSWICK LIMITED"</f>
        <v>FUWA FUWA BRUNSWICK LIMITED</v>
      </c>
      <c r="B1343" t="str">
        <f>"12316145"</f>
        <v>12316145</v>
      </c>
      <c r="C1343" s="2" t="s">
        <v>335</v>
      </c>
      <c r="D1343" s="2" t="s">
        <v>26</v>
      </c>
      <c r="E1343" s="4">
        <v>45229</v>
      </c>
    </row>
    <row r="1344" spans="1:5" x14ac:dyDescent="0.25">
      <c r="A1344" s="1" t="str">
        <f>"SLICE PIZZERIAS LIMITED"</f>
        <v>SLICE PIZZERIAS LIMITED</v>
      </c>
      <c r="B1344" t="str">
        <f>"09308986"</f>
        <v>09308986</v>
      </c>
      <c r="C1344" s="2" t="s">
        <v>335</v>
      </c>
      <c r="D1344" s="2" t="s">
        <v>26</v>
      </c>
      <c r="E1344" s="4">
        <v>45236</v>
      </c>
    </row>
    <row r="1345" spans="1:5" x14ac:dyDescent="0.25">
      <c r="A1345" s="1" t="str">
        <f>"FALCON DRYLINING LTD"</f>
        <v>FALCON DRYLINING LTD</v>
      </c>
      <c r="B1345" t="str">
        <f>"09490574"</f>
        <v>09490574</v>
      </c>
      <c r="C1345" s="2" t="s">
        <v>188</v>
      </c>
      <c r="D1345" s="2" t="s">
        <v>26</v>
      </c>
      <c r="E1345" s="4">
        <v>45236</v>
      </c>
    </row>
    <row r="1346" spans="1:5" x14ac:dyDescent="0.25">
      <c r="A1346" s="1" t="str">
        <f>"MSPB TRADING LTD"</f>
        <v>MSPB TRADING LTD</v>
      </c>
      <c r="B1346" t="str">
        <f>"12779555"</f>
        <v>12779555</v>
      </c>
      <c r="C1346" s="2" t="s">
        <v>188</v>
      </c>
      <c r="D1346" s="2" t="s">
        <v>26</v>
      </c>
      <c r="E1346" s="4">
        <v>45237</v>
      </c>
    </row>
    <row r="1347" spans="1:5" x14ac:dyDescent="0.25">
      <c r="A1347" s="1" t="str">
        <f>"ALASEO LIMITED"</f>
        <v>ALASEO LIMITED</v>
      </c>
      <c r="B1347" t="str">
        <f>"09661607"</f>
        <v>09661607</v>
      </c>
      <c r="C1347" s="2" t="s">
        <v>211</v>
      </c>
      <c r="D1347" s="2" t="s">
        <v>114</v>
      </c>
      <c r="E1347" s="4">
        <v>45237</v>
      </c>
    </row>
    <row r="1348" spans="1:5" x14ac:dyDescent="0.25">
      <c r="A1348" s="1" t="str">
        <f>"JUST LEE LTD"</f>
        <v>JUST LEE LTD</v>
      </c>
      <c r="B1348" t="str">
        <f>"09498891"</f>
        <v>09498891</v>
      </c>
      <c r="C1348" s="2" t="s">
        <v>211</v>
      </c>
      <c r="D1348" s="2" t="s">
        <v>114</v>
      </c>
      <c r="E1348" s="4">
        <v>45238</v>
      </c>
    </row>
    <row r="1349" spans="1:5" x14ac:dyDescent="0.25">
      <c r="A1349" s="1" t="s">
        <v>766</v>
      </c>
      <c r="B1349" t="s">
        <v>767</v>
      </c>
      <c r="C1349" s="2" t="s">
        <v>211</v>
      </c>
      <c r="D1349" s="2" t="s">
        <v>114</v>
      </c>
      <c r="E1349" s="4">
        <v>45247</v>
      </c>
    </row>
    <row r="1350" spans="1:5" x14ac:dyDescent="0.25">
      <c r="A1350" s="1" t="s">
        <v>637</v>
      </c>
      <c r="B1350">
        <v>4359213</v>
      </c>
      <c r="C1350" s="2" t="s">
        <v>638</v>
      </c>
      <c r="D1350" s="2" t="s">
        <v>164</v>
      </c>
      <c r="E1350" s="4">
        <v>45247</v>
      </c>
    </row>
    <row r="1351" spans="1:5" x14ac:dyDescent="0.25">
      <c r="A1351" s="1" t="str">
        <f>"M &amp; V HAIRDRESSING LTD"</f>
        <v>M &amp; V HAIRDRESSING LTD</v>
      </c>
      <c r="B1351" t="str">
        <f>"11860510"</f>
        <v>11860510</v>
      </c>
      <c r="C1351" s="2" t="s">
        <v>194</v>
      </c>
      <c r="D1351" s="2" t="s">
        <v>195</v>
      </c>
      <c r="E1351" s="4">
        <v>45236</v>
      </c>
    </row>
    <row r="1352" spans="1:5" x14ac:dyDescent="0.25">
      <c r="A1352" s="1" t="str">
        <f>"TJS PROPERTY IMPROVEMENTS LIMITED"</f>
        <v>TJS PROPERTY IMPROVEMENTS LIMITED</v>
      </c>
      <c r="B1352" t="str">
        <f>"10969926"</f>
        <v>10969926</v>
      </c>
      <c r="C1352" s="2" t="s">
        <v>194</v>
      </c>
      <c r="D1352" s="2" t="s">
        <v>195</v>
      </c>
      <c r="E1352" s="4">
        <v>45244</v>
      </c>
    </row>
    <row r="1353" spans="1:5" x14ac:dyDescent="0.25">
      <c r="A1353" s="1" t="str">
        <f>"PRODUCTIVE PROMOTIONS LTD"</f>
        <v>PRODUCTIVE PROMOTIONS LTD</v>
      </c>
      <c r="B1353" t="str">
        <f>"07957328"</f>
        <v>07957328</v>
      </c>
      <c r="C1353" s="2" t="s">
        <v>194</v>
      </c>
      <c r="D1353" s="2" t="s">
        <v>195</v>
      </c>
      <c r="E1353" s="4">
        <v>45253</v>
      </c>
    </row>
    <row r="1354" spans="1:5" x14ac:dyDescent="0.25">
      <c r="A1354" s="1" t="str">
        <f>"MIDLAND TRANSMISSION SALES LIMITED"</f>
        <v>MIDLAND TRANSMISSION SALES LIMITED</v>
      </c>
      <c r="B1354" t="str">
        <f>"07118631"</f>
        <v>07118631</v>
      </c>
      <c r="C1354" s="2" t="s">
        <v>66</v>
      </c>
      <c r="D1354" s="2" t="s">
        <v>11</v>
      </c>
      <c r="E1354" s="4">
        <v>45236</v>
      </c>
    </row>
    <row r="1355" spans="1:5" x14ac:dyDescent="0.25">
      <c r="A1355" s="1" t="str">
        <f>"LIFESTYLE CAREERS LIMITED"</f>
        <v>LIFESTYLE CAREERS LIMITED</v>
      </c>
      <c r="B1355" t="str">
        <f>"09291769"</f>
        <v>09291769</v>
      </c>
      <c r="C1355" s="2" t="s">
        <v>66</v>
      </c>
      <c r="D1355" s="2" t="s">
        <v>11</v>
      </c>
      <c r="E1355" s="4">
        <v>45238</v>
      </c>
    </row>
    <row r="1356" spans="1:5" x14ac:dyDescent="0.25">
      <c r="A1356" s="1" t="s">
        <v>815</v>
      </c>
      <c r="B1356">
        <v>11416644</v>
      </c>
      <c r="C1356" s="2" t="s">
        <v>66</v>
      </c>
      <c r="D1356" s="2" t="s">
        <v>11</v>
      </c>
      <c r="E1356" s="4">
        <v>45253</v>
      </c>
    </row>
    <row r="1357" spans="1:5" x14ac:dyDescent="0.25">
      <c r="A1357" s="1" t="str">
        <f>"GREAT YARMOUTH PRINTING SERVICES LIMITED"</f>
        <v>GREAT YARMOUTH PRINTING SERVICES LIMITED</v>
      </c>
      <c r="B1357" t="str">
        <f>"02785485"</f>
        <v>02785485</v>
      </c>
      <c r="C1357" s="2" t="s">
        <v>596</v>
      </c>
      <c r="D1357" s="2" t="s">
        <v>49</v>
      </c>
      <c r="E1357" s="4">
        <v>45230</v>
      </c>
    </row>
    <row r="1358" spans="1:5" x14ac:dyDescent="0.25">
      <c r="A1358" s="1" t="str">
        <f>"THE CROFT (KENFIG) LIMITED"</f>
        <v>THE CROFT (KENFIG) LIMITED</v>
      </c>
      <c r="B1358" t="str">
        <f>"05034211"</f>
        <v>05034211</v>
      </c>
      <c r="C1358" s="2" t="s">
        <v>190</v>
      </c>
      <c r="D1358" s="2" t="s">
        <v>191</v>
      </c>
      <c r="E1358" s="4">
        <v>45236</v>
      </c>
    </row>
    <row r="1359" spans="1:5" x14ac:dyDescent="0.25">
      <c r="A1359" s="1" t="str">
        <f>"EMS FITNESS LIMITED"</f>
        <v>EMS FITNESS LIMITED</v>
      </c>
      <c r="B1359" t="str">
        <f>"11734507"</f>
        <v>11734507</v>
      </c>
      <c r="C1359" s="2" t="s">
        <v>190</v>
      </c>
      <c r="D1359" s="2" t="s">
        <v>191</v>
      </c>
      <c r="E1359" s="4">
        <v>45239</v>
      </c>
    </row>
    <row r="1360" spans="1:5" x14ac:dyDescent="0.25">
      <c r="A1360" s="1" t="str">
        <f>"GLASS ROOF PEOPLE LIMITED"</f>
        <v>GLASS ROOF PEOPLE LIMITED</v>
      </c>
      <c r="B1360" t="str">
        <f>"07175919"</f>
        <v>07175919</v>
      </c>
      <c r="C1360" s="2" t="s">
        <v>190</v>
      </c>
      <c r="D1360" s="2" t="s">
        <v>191</v>
      </c>
      <c r="E1360" s="4">
        <v>45244</v>
      </c>
    </row>
    <row r="1361" spans="1:5" x14ac:dyDescent="0.25">
      <c r="A1361" s="1" t="str">
        <f>"GREENBOX IT (UK) LIMITED"</f>
        <v>GREENBOX IT (UK) LIMITED</v>
      </c>
      <c r="B1361" t="str">
        <f>"12009082"</f>
        <v>12009082</v>
      </c>
      <c r="C1361" s="2" t="s">
        <v>190</v>
      </c>
      <c r="D1361" s="2" t="s">
        <v>191</v>
      </c>
      <c r="E1361" s="4">
        <v>45245</v>
      </c>
    </row>
    <row r="1362" spans="1:5" x14ac:dyDescent="0.25">
      <c r="A1362" s="1" t="str">
        <f>"PORTREATH STORES LTD"</f>
        <v>PORTREATH STORES LTD</v>
      </c>
      <c r="B1362" t="str">
        <f>"06927009"</f>
        <v>06927009</v>
      </c>
      <c r="C1362" s="2" t="s">
        <v>190</v>
      </c>
      <c r="D1362" s="2" t="s">
        <v>232</v>
      </c>
      <c r="E1362" s="4">
        <v>45230</v>
      </c>
    </row>
    <row r="1363" spans="1:5" x14ac:dyDescent="0.25">
      <c r="A1363" s="1" t="str">
        <f>"QUIRKUS HOLDINGS LTD"</f>
        <v>QUIRKUS HOLDINGS LTD</v>
      </c>
      <c r="B1363" t="str">
        <f>"13810056"</f>
        <v>13810056</v>
      </c>
      <c r="C1363" s="2" t="s">
        <v>190</v>
      </c>
      <c r="D1363" s="2" t="s">
        <v>232</v>
      </c>
      <c r="E1363" s="4">
        <v>45232</v>
      </c>
    </row>
    <row r="1364" spans="1:5" x14ac:dyDescent="0.25">
      <c r="A1364" s="1" t="str">
        <f>"GRYPHON HOSPITALITY LIMITED"</f>
        <v>GRYPHON HOSPITALITY LIMITED</v>
      </c>
      <c r="B1364" t="str">
        <f>"07234719"</f>
        <v>07234719</v>
      </c>
      <c r="C1364" s="2" t="s">
        <v>190</v>
      </c>
      <c r="D1364" s="2" t="s">
        <v>232</v>
      </c>
      <c r="E1364" s="4">
        <v>45245</v>
      </c>
    </row>
    <row r="1365" spans="1:5" x14ac:dyDescent="0.25">
      <c r="A1365" s="1" t="str">
        <f>"PAB LIGHTING LTD"</f>
        <v>PAB LIGHTING LTD</v>
      </c>
      <c r="B1365" t="str">
        <f>"10843230"</f>
        <v>10843230</v>
      </c>
      <c r="C1365" s="2" t="s">
        <v>190</v>
      </c>
      <c r="D1365" s="2" t="s">
        <v>232</v>
      </c>
      <c r="E1365" s="4">
        <v>45246</v>
      </c>
    </row>
    <row r="1366" spans="1:5" x14ac:dyDescent="0.25">
      <c r="A1366" s="1" t="str">
        <f>"WINEMILL ROMFORD LTD"</f>
        <v>WINEMILL ROMFORD LTD</v>
      </c>
      <c r="B1366" t="str">
        <f>"12416364"</f>
        <v>12416364</v>
      </c>
      <c r="C1366" s="2" t="s">
        <v>190</v>
      </c>
      <c r="D1366" s="2" t="s">
        <v>232</v>
      </c>
      <c r="E1366" s="4">
        <v>45246</v>
      </c>
    </row>
    <row r="1367" spans="1:5" x14ac:dyDescent="0.25">
      <c r="A1367" s="1" t="s">
        <v>612</v>
      </c>
      <c r="B1367">
        <v>12285748</v>
      </c>
      <c r="C1367" s="2" t="s">
        <v>190</v>
      </c>
      <c r="D1367" s="2" t="s">
        <v>232</v>
      </c>
      <c r="E1367" s="4">
        <v>45250</v>
      </c>
    </row>
    <row r="1368" spans="1:5" x14ac:dyDescent="0.25">
      <c r="A1368" s="1" t="s">
        <v>613</v>
      </c>
      <c r="B1368" t="s">
        <v>614</v>
      </c>
      <c r="C1368" s="2" t="s">
        <v>190</v>
      </c>
      <c r="D1368" s="2" t="s">
        <v>232</v>
      </c>
      <c r="E1368" s="4">
        <v>45250</v>
      </c>
    </row>
    <row r="1369" spans="1:5" x14ac:dyDescent="0.25">
      <c r="A1369" s="1" t="s">
        <v>689</v>
      </c>
      <c r="B1369">
        <v>11264519</v>
      </c>
      <c r="C1369" s="2" t="s">
        <v>190</v>
      </c>
      <c r="D1369" s="2" t="s">
        <v>232</v>
      </c>
      <c r="E1369" s="4">
        <v>45251</v>
      </c>
    </row>
    <row r="1370" spans="1:5" x14ac:dyDescent="0.25">
      <c r="A1370" s="1" t="str">
        <f>"KA SANDWICH LEASE UK LTD"</f>
        <v>KA SANDWICH LEASE UK LTD</v>
      </c>
      <c r="B1370" t="str">
        <f>"07445114"</f>
        <v>07445114</v>
      </c>
      <c r="C1370" s="2" t="s">
        <v>190</v>
      </c>
      <c r="D1370" s="2" t="s">
        <v>232</v>
      </c>
      <c r="E1370" s="4">
        <v>45251</v>
      </c>
    </row>
    <row r="1371" spans="1:5" x14ac:dyDescent="0.25">
      <c r="A1371" s="1" t="str">
        <f>"KA SANDWICH TRADING UK LTD"</f>
        <v>KA SANDWICH TRADING UK LTD</v>
      </c>
      <c r="B1371" t="str">
        <f>"07407245"</f>
        <v>07407245</v>
      </c>
      <c r="C1371" s="2" t="s">
        <v>190</v>
      </c>
      <c r="D1371" s="2" t="s">
        <v>232</v>
      </c>
      <c r="E1371" s="4">
        <v>45251</v>
      </c>
    </row>
    <row r="1372" spans="1:5" x14ac:dyDescent="0.25">
      <c r="A1372" s="1" t="str">
        <f>"KA SANDWICH UK LIMITED"</f>
        <v>KA SANDWICH UK LIMITED</v>
      </c>
      <c r="B1372" t="str">
        <f>"06950342"</f>
        <v>06950342</v>
      </c>
      <c r="C1372" s="2" t="s">
        <v>190</v>
      </c>
      <c r="D1372" s="2" t="s">
        <v>232</v>
      </c>
      <c r="E1372" s="4">
        <v>45251</v>
      </c>
    </row>
    <row r="1373" spans="1:5" x14ac:dyDescent="0.25">
      <c r="A1373" s="1" t="str">
        <f>"DORSET EMERGENCY PLACEMENT SERVICES LTD."</f>
        <v>DORSET EMERGENCY PLACEMENT SERVICES LTD.</v>
      </c>
      <c r="B1373" t="str">
        <f>"11148474"</f>
        <v>11148474</v>
      </c>
      <c r="C1373" s="2" t="s">
        <v>190</v>
      </c>
      <c r="D1373" s="2" t="s">
        <v>232</v>
      </c>
      <c r="E1373" s="4">
        <v>45253</v>
      </c>
    </row>
    <row r="1374" spans="1:5" x14ac:dyDescent="0.25">
      <c r="A1374" s="1" t="s">
        <v>460</v>
      </c>
      <c r="B1374">
        <v>5743627</v>
      </c>
      <c r="C1374" s="2" t="s">
        <v>20</v>
      </c>
      <c r="D1374" s="2" t="s">
        <v>120</v>
      </c>
      <c r="E1374" s="4">
        <v>45223</v>
      </c>
    </row>
    <row r="1375" spans="1:5" x14ac:dyDescent="0.25">
      <c r="A1375" s="1" t="s">
        <v>431</v>
      </c>
      <c r="B1375">
        <v>9241184</v>
      </c>
      <c r="C1375" s="2" t="s">
        <v>20</v>
      </c>
      <c r="D1375" s="2" t="s">
        <v>120</v>
      </c>
      <c r="E1375" s="4">
        <v>45224</v>
      </c>
    </row>
    <row r="1376" spans="1:5" x14ac:dyDescent="0.25">
      <c r="A1376" s="1" t="s">
        <v>567</v>
      </c>
      <c r="B1376">
        <v>10347094</v>
      </c>
      <c r="C1376" s="2" t="s">
        <v>20</v>
      </c>
      <c r="D1376" s="2" t="s">
        <v>120</v>
      </c>
      <c r="E1376" s="4">
        <v>45225</v>
      </c>
    </row>
    <row r="1377" spans="1:5" x14ac:dyDescent="0.25">
      <c r="A1377" s="1" t="str">
        <f>"WARNES HOLDINGS LIMITED"</f>
        <v>WARNES HOLDINGS LIMITED</v>
      </c>
      <c r="B1377" t="str">
        <f>"11894673"</f>
        <v>11894673</v>
      </c>
      <c r="C1377" s="2" t="s">
        <v>20</v>
      </c>
      <c r="D1377" s="2" t="s">
        <v>120</v>
      </c>
      <c r="E1377" s="4">
        <v>45244</v>
      </c>
    </row>
    <row r="1378" spans="1:5" x14ac:dyDescent="0.25">
      <c r="A1378" s="1" t="str">
        <f>"ALS ASSOCIATES LIMITED"</f>
        <v>ALS ASSOCIATES LIMITED</v>
      </c>
      <c r="B1378" t="str">
        <f>"08741713"</f>
        <v>08741713</v>
      </c>
      <c r="C1378" s="2" t="s">
        <v>20</v>
      </c>
      <c r="D1378" s="2" t="s">
        <v>120</v>
      </c>
      <c r="E1378" s="4">
        <v>45245</v>
      </c>
    </row>
    <row r="1379" spans="1:5" x14ac:dyDescent="0.25">
      <c r="A1379" s="1" t="str">
        <f>"WARNES PROJECTS LIMITED"</f>
        <v>WARNES PROJECTS LIMITED</v>
      </c>
      <c r="B1379" t="str">
        <f>"05515072"</f>
        <v>05515072</v>
      </c>
      <c r="C1379" s="2" t="s">
        <v>20</v>
      </c>
      <c r="D1379" s="2" t="s">
        <v>120</v>
      </c>
      <c r="E1379" s="4">
        <v>45245</v>
      </c>
    </row>
    <row r="1380" spans="1:5" x14ac:dyDescent="0.25">
      <c r="A1380" s="1" t="str">
        <f>"THE GEORGI FIN RUSTINGTON LTD"</f>
        <v>THE GEORGI FIN RUSTINGTON LTD</v>
      </c>
      <c r="B1380" t="str">
        <f>"12351304"</f>
        <v>12351304</v>
      </c>
      <c r="C1380" s="2" t="s">
        <v>20</v>
      </c>
      <c r="D1380" s="2" t="s">
        <v>120</v>
      </c>
      <c r="E1380" s="4">
        <v>45253</v>
      </c>
    </row>
    <row r="1381" spans="1:5" x14ac:dyDescent="0.25">
      <c r="A1381" s="1" t="str">
        <f>"PEGASUS AUTOMATION LIMITED"</f>
        <v>PEGASUS AUTOMATION LIMITED</v>
      </c>
      <c r="B1381" t="str">
        <f>"12414416"</f>
        <v>12414416</v>
      </c>
      <c r="C1381" s="2" t="s">
        <v>20</v>
      </c>
      <c r="D1381" s="2" t="s">
        <v>37</v>
      </c>
      <c r="E1381" s="4">
        <v>45246</v>
      </c>
    </row>
    <row r="1382" spans="1:5" x14ac:dyDescent="0.25">
      <c r="A1382" s="1" t="str">
        <f>"HOME JOINERY LIMITED"</f>
        <v>HOME JOINERY LIMITED</v>
      </c>
      <c r="B1382" t="str">
        <f>"06376672"</f>
        <v>06376672</v>
      </c>
      <c r="C1382" s="2" t="s">
        <v>20</v>
      </c>
      <c r="D1382" s="2" t="s">
        <v>197</v>
      </c>
      <c r="E1382" s="4">
        <v>45251</v>
      </c>
    </row>
    <row r="1383" spans="1:5" x14ac:dyDescent="0.25">
      <c r="A1383" s="1" t="str">
        <f>"REVITAGLAZE LIMITED"</f>
        <v>REVITAGLAZE LIMITED</v>
      </c>
      <c r="B1383" t="str">
        <f>"05875922"</f>
        <v>05875922</v>
      </c>
      <c r="C1383" s="2" t="s">
        <v>20</v>
      </c>
      <c r="D1383" s="2" t="s">
        <v>34</v>
      </c>
      <c r="E1383" s="4">
        <v>45243</v>
      </c>
    </row>
    <row r="1384" spans="1:5" x14ac:dyDescent="0.25">
      <c r="A1384" s="1" t="str">
        <f>"CAREERGO LTD"</f>
        <v>CAREERGO LTD</v>
      </c>
      <c r="B1384" t="str">
        <f>"12133910"</f>
        <v>12133910</v>
      </c>
      <c r="C1384" s="2" t="s">
        <v>20</v>
      </c>
      <c r="D1384" s="2" t="s">
        <v>7</v>
      </c>
      <c r="E1384" s="4">
        <v>45229</v>
      </c>
    </row>
    <row r="1385" spans="1:5" x14ac:dyDescent="0.25">
      <c r="A1385" s="1" t="str">
        <f>"PHOENIX DX LTD"</f>
        <v>PHOENIX DX LTD</v>
      </c>
      <c r="B1385" t="str">
        <f>"08828924"</f>
        <v>08828924</v>
      </c>
      <c r="C1385" s="2" t="s">
        <v>20</v>
      </c>
      <c r="D1385" s="2" t="s">
        <v>7</v>
      </c>
      <c r="E1385" s="4">
        <v>45232</v>
      </c>
    </row>
    <row r="1386" spans="1:5" x14ac:dyDescent="0.25">
      <c r="A1386" s="1" t="str">
        <f>"HERONGRANGE RECRUITMENT &amp; TRAINING SOLUTIONS LIMITED"</f>
        <v>HERONGRANGE RECRUITMENT &amp; TRAINING SOLUTIONS LIMITED</v>
      </c>
      <c r="B1386" t="str">
        <f>"12457677"</f>
        <v>12457677</v>
      </c>
      <c r="C1386" s="2" t="s">
        <v>20</v>
      </c>
      <c r="D1386" s="2" t="s">
        <v>7</v>
      </c>
      <c r="E1386" s="4">
        <v>45250</v>
      </c>
    </row>
    <row r="1387" spans="1:5" x14ac:dyDescent="0.25">
      <c r="A1387" s="1" t="str">
        <f>"AJILE PARTNERSHIP LIMITED"</f>
        <v>AJILE PARTNERSHIP LIMITED</v>
      </c>
      <c r="B1387" t="str">
        <f>"11497761"</f>
        <v>11497761</v>
      </c>
      <c r="C1387" s="2" t="s">
        <v>20</v>
      </c>
      <c r="D1387" s="2" t="s">
        <v>263</v>
      </c>
      <c r="E1387" s="4">
        <v>45246</v>
      </c>
    </row>
    <row r="1388" spans="1:5" x14ac:dyDescent="0.25">
      <c r="A1388" s="1" t="str">
        <f>"YEP FACILITY SERVICES LIMITED"</f>
        <v>YEP FACILITY SERVICES LIMITED</v>
      </c>
      <c r="B1388" t="str">
        <f>"12169563"</f>
        <v>12169563</v>
      </c>
      <c r="C1388" s="2" t="s">
        <v>20</v>
      </c>
      <c r="D1388" s="2" t="s">
        <v>26</v>
      </c>
      <c r="E1388" s="4">
        <v>45229</v>
      </c>
    </row>
    <row r="1389" spans="1:5" x14ac:dyDescent="0.25">
      <c r="A1389" s="1" t="str">
        <f>"OKR TECHNICAL SERVICES UK LIMITED"</f>
        <v>OKR TECHNICAL SERVICES UK LIMITED</v>
      </c>
      <c r="B1389" t="str">
        <f>"10090736"</f>
        <v>10090736</v>
      </c>
      <c r="C1389" s="2" t="s">
        <v>20</v>
      </c>
      <c r="D1389" s="2" t="s">
        <v>26</v>
      </c>
      <c r="E1389" s="4">
        <v>45239</v>
      </c>
    </row>
    <row r="1390" spans="1:5" x14ac:dyDescent="0.25">
      <c r="A1390" s="1" t="str">
        <f>"HOUSE DE NOVO (YARM) LIMITED"</f>
        <v>HOUSE DE NOVO (YARM) LIMITED</v>
      </c>
      <c r="B1390" t="str">
        <f>"10872197"</f>
        <v>10872197</v>
      </c>
      <c r="C1390" s="2" t="s">
        <v>20</v>
      </c>
      <c r="D1390" s="2" t="s">
        <v>26</v>
      </c>
      <c r="E1390" s="4">
        <v>45250</v>
      </c>
    </row>
    <row r="1391" spans="1:5" x14ac:dyDescent="0.25">
      <c r="A1391" s="1" t="str">
        <f>"CW BRADFORD LIMITED"</f>
        <v>CW BRADFORD LIMITED</v>
      </c>
      <c r="B1391" t="str">
        <f>"12736329"</f>
        <v>12736329</v>
      </c>
      <c r="C1391" s="2" t="s">
        <v>20</v>
      </c>
      <c r="D1391" s="2" t="s">
        <v>39</v>
      </c>
      <c r="E1391" s="4">
        <v>45182</v>
      </c>
    </row>
    <row r="1392" spans="1:5" x14ac:dyDescent="0.25">
      <c r="A1392" s="1" t="str">
        <f>"F&amp;W LONDON LTD"</f>
        <v>F&amp;W LONDON LTD</v>
      </c>
      <c r="B1392" t="str">
        <f>"11812430"</f>
        <v>11812430</v>
      </c>
      <c r="C1392" s="2" t="s">
        <v>20</v>
      </c>
      <c r="D1392" s="2" t="s">
        <v>39</v>
      </c>
      <c r="E1392" s="4">
        <v>45231</v>
      </c>
    </row>
    <row r="1393" spans="1:5" x14ac:dyDescent="0.25">
      <c r="A1393" s="1" t="str">
        <f>"CENTURION CORPORATE SERVICES LIMITED"</f>
        <v>CENTURION CORPORATE SERVICES LIMITED</v>
      </c>
      <c r="B1393" t="str">
        <f>"13881706"</f>
        <v>13881706</v>
      </c>
      <c r="C1393" s="2" t="s">
        <v>20</v>
      </c>
      <c r="D1393" s="2" t="s">
        <v>39</v>
      </c>
      <c r="E1393" s="4">
        <v>45240</v>
      </c>
    </row>
    <row r="1394" spans="1:5" x14ac:dyDescent="0.25">
      <c r="A1394" s="1" t="str">
        <f>"KIT FE LTD"</f>
        <v>KIT FE LTD</v>
      </c>
      <c r="B1394" t="str">
        <f>"11426562"</f>
        <v>11426562</v>
      </c>
      <c r="C1394" s="2" t="s">
        <v>20</v>
      </c>
      <c r="D1394" s="2" t="s">
        <v>39</v>
      </c>
      <c r="E1394" s="4">
        <v>45252</v>
      </c>
    </row>
    <row r="1395" spans="1:5" x14ac:dyDescent="0.25">
      <c r="A1395" s="1" t="s">
        <v>492</v>
      </c>
      <c r="B1395">
        <v>8717470</v>
      </c>
      <c r="C1395" s="2" t="s">
        <v>20</v>
      </c>
      <c r="D1395" s="2" t="s">
        <v>21</v>
      </c>
      <c r="E1395" s="4">
        <v>45226</v>
      </c>
    </row>
    <row r="1396" spans="1:5" x14ac:dyDescent="0.25">
      <c r="A1396" s="1" t="s">
        <v>488</v>
      </c>
      <c r="B1396">
        <v>13490558</v>
      </c>
      <c r="C1396" s="2" t="s">
        <v>20</v>
      </c>
      <c r="D1396" s="2" t="s">
        <v>21</v>
      </c>
      <c r="E1396" s="4">
        <v>45229</v>
      </c>
    </row>
    <row r="1397" spans="1:5" x14ac:dyDescent="0.25">
      <c r="A1397" s="1" t="str">
        <f>"NIGHTFROST LIMITED"</f>
        <v>NIGHTFROST LIMITED</v>
      </c>
      <c r="B1397" t="str">
        <f>"06033754"</f>
        <v>06033754</v>
      </c>
      <c r="C1397" s="2" t="s">
        <v>20</v>
      </c>
      <c r="D1397" s="2" t="s">
        <v>21</v>
      </c>
      <c r="E1397" s="4">
        <v>45229</v>
      </c>
    </row>
    <row r="1398" spans="1:5" x14ac:dyDescent="0.25">
      <c r="A1398" s="1" t="str">
        <f>"RINGHAM HUNTER LTD."</f>
        <v>RINGHAM HUNTER LTD.</v>
      </c>
      <c r="B1398" t="str">
        <f>"08712589"</f>
        <v>08712589</v>
      </c>
      <c r="C1398" s="2" t="s">
        <v>20</v>
      </c>
      <c r="D1398" s="2" t="s">
        <v>21</v>
      </c>
      <c r="E1398" s="4">
        <v>45230</v>
      </c>
    </row>
    <row r="1399" spans="1:5" x14ac:dyDescent="0.25">
      <c r="A1399" s="1" t="str">
        <f>"PKWG LTD."</f>
        <v>PKWG LTD.</v>
      </c>
      <c r="B1399" t="str">
        <f>"10820575"</f>
        <v>10820575</v>
      </c>
      <c r="C1399" s="2" t="s">
        <v>20</v>
      </c>
      <c r="D1399" s="2" t="s">
        <v>21</v>
      </c>
      <c r="E1399" s="4">
        <v>45230</v>
      </c>
    </row>
    <row r="1400" spans="1:5" x14ac:dyDescent="0.25">
      <c r="A1400" s="1" t="str">
        <f>"OLS PERFORMANCE LIMITED"</f>
        <v>OLS PERFORMANCE LIMITED</v>
      </c>
      <c r="B1400" t="str">
        <f>"12533290"</f>
        <v>12533290</v>
      </c>
      <c r="C1400" s="2" t="s">
        <v>20</v>
      </c>
      <c r="D1400" s="2" t="s">
        <v>21</v>
      </c>
      <c r="E1400" s="4">
        <v>45238</v>
      </c>
    </row>
    <row r="1401" spans="1:5" x14ac:dyDescent="0.25">
      <c r="A1401" s="1" t="str">
        <f>"MYWAVE APP LTD"</f>
        <v>MYWAVE APP LTD</v>
      </c>
      <c r="B1401" t="str">
        <f>"11814860"</f>
        <v>11814860</v>
      </c>
      <c r="C1401" s="2" t="s">
        <v>20</v>
      </c>
      <c r="D1401" s="2" t="s">
        <v>21</v>
      </c>
      <c r="E1401" s="4">
        <v>45246</v>
      </c>
    </row>
    <row r="1402" spans="1:5" x14ac:dyDescent="0.25">
      <c r="A1402" s="1" t="s">
        <v>633</v>
      </c>
      <c r="B1402">
        <v>2644249</v>
      </c>
      <c r="C1402" s="2" t="s">
        <v>20</v>
      </c>
      <c r="D1402" s="2" t="s">
        <v>21</v>
      </c>
      <c r="E1402" s="4">
        <v>45247</v>
      </c>
    </row>
    <row r="1403" spans="1:5" x14ac:dyDescent="0.25">
      <c r="A1403" s="1" t="str">
        <f>"L.C.R CONTRACTORS LTD"</f>
        <v>L.C.R CONTRACTORS LTD</v>
      </c>
      <c r="B1403" t="str">
        <f>"12387390"</f>
        <v>12387390</v>
      </c>
      <c r="C1403" s="2" t="s">
        <v>20</v>
      </c>
      <c r="D1403" s="2" t="s">
        <v>21</v>
      </c>
      <c r="E1403" s="4">
        <v>45252</v>
      </c>
    </row>
    <row r="1404" spans="1:5" x14ac:dyDescent="0.25">
      <c r="A1404" s="1" t="str">
        <f>"EASYSLEEPER CO LTD"</f>
        <v>EASYSLEEPER CO LTD</v>
      </c>
      <c r="B1404" t="str">
        <f>"12372453"</f>
        <v>12372453</v>
      </c>
      <c r="C1404" s="2" t="s">
        <v>20</v>
      </c>
      <c r="D1404" s="2" t="s">
        <v>21</v>
      </c>
      <c r="E1404" s="4">
        <v>45257</v>
      </c>
    </row>
    <row r="1405" spans="1:5" x14ac:dyDescent="0.25">
      <c r="A1405" s="1" t="str">
        <f>"SEARLE AND SHARPE HAIRDRESSING LTD"</f>
        <v>SEARLE AND SHARPE HAIRDRESSING LTD</v>
      </c>
      <c r="B1405" t="str">
        <f>"11812877"</f>
        <v>11812877</v>
      </c>
      <c r="C1405" s="2" t="s">
        <v>20</v>
      </c>
      <c r="D1405" s="2" t="s">
        <v>78</v>
      </c>
      <c r="E1405" s="4">
        <v>45239</v>
      </c>
    </row>
    <row r="1406" spans="1:5" x14ac:dyDescent="0.25">
      <c r="A1406" s="1" t="s">
        <v>642</v>
      </c>
      <c r="B1406">
        <v>9279831</v>
      </c>
      <c r="C1406" s="2" t="s">
        <v>20</v>
      </c>
      <c r="D1406" s="2" t="s">
        <v>78</v>
      </c>
      <c r="E1406" s="4">
        <v>45245</v>
      </c>
    </row>
    <row r="1407" spans="1:5" x14ac:dyDescent="0.25">
      <c r="A1407" s="1" t="s">
        <v>783</v>
      </c>
      <c r="B1407" t="s">
        <v>784</v>
      </c>
      <c r="C1407" s="2" t="s">
        <v>20</v>
      </c>
      <c r="D1407" s="2" t="s">
        <v>78</v>
      </c>
      <c r="E1407" s="4">
        <v>45246</v>
      </c>
    </row>
    <row r="1408" spans="1:5" x14ac:dyDescent="0.25">
      <c r="A1408" s="1" t="str">
        <f>"SPINETIC ENERGY LIMITED"</f>
        <v>SPINETIC ENERGY LIMITED</v>
      </c>
      <c r="B1408" t="str">
        <f>"08085751"</f>
        <v>08085751</v>
      </c>
      <c r="C1408" s="2" t="s">
        <v>20</v>
      </c>
      <c r="D1408" s="2" t="s">
        <v>78</v>
      </c>
      <c r="E1408" s="4">
        <v>45251</v>
      </c>
    </row>
    <row r="1409" spans="1:5" x14ac:dyDescent="0.25">
      <c r="A1409" s="1" t="str">
        <f>"SMARTCORE-AV LIMITED"</f>
        <v>SMARTCORE-AV LIMITED</v>
      </c>
      <c r="B1409" t="str">
        <f>"12042304"</f>
        <v>12042304</v>
      </c>
      <c r="C1409" s="2" t="s">
        <v>20</v>
      </c>
      <c r="D1409" s="2" t="s">
        <v>89</v>
      </c>
      <c r="E1409" s="4">
        <v>45230</v>
      </c>
    </row>
    <row r="1410" spans="1:5" x14ac:dyDescent="0.25">
      <c r="A1410" s="1" t="str">
        <f>"ON-OFF SCREEN LIMITED"</f>
        <v>ON-OFF SCREEN LIMITED</v>
      </c>
      <c r="B1410" t="str">
        <f>"10482619"</f>
        <v>10482619</v>
      </c>
      <c r="C1410" s="2" t="s">
        <v>20</v>
      </c>
      <c r="D1410" s="2" t="s">
        <v>89</v>
      </c>
      <c r="E1410" s="4">
        <v>45231</v>
      </c>
    </row>
    <row r="1411" spans="1:5" x14ac:dyDescent="0.25">
      <c r="A1411" s="1" t="str">
        <f>"DKS HEALTHCARE LIMITED"</f>
        <v>DKS HEALTHCARE LIMITED</v>
      </c>
      <c r="B1411" t="str">
        <f>"08221179"</f>
        <v>08221179</v>
      </c>
      <c r="C1411" s="2" t="s">
        <v>20</v>
      </c>
      <c r="D1411" s="2" t="s">
        <v>89</v>
      </c>
      <c r="E1411" s="4">
        <v>45232</v>
      </c>
    </row>
    <row r="1412" spans="1:5" x14ac:dyDescent="0.25">
      <c r="A1412" s="1" t="str">
        <f>"QAPLA LION LTD"</f>
        <v>QAPLA LION LTD</v>
      </c>
      <c r="B1412" t="str">
        <f>"11802052"</f>
        <v>11802052</v>
      </c>
      <c r="C1412" s="2" t="s">
        <v>20</v>
      </c>
      <c r="D1412" s="2" t="s">
        <v>89</v>
      </c>
      <c r="E1412" s="4">
        <v>45236</v>
      </c>
    </row>
    <row r="1413" spans="1:5" x14ac:dyDescent="0.25">
      <c r="A1413" s="1" t="str">
        <f>"HIT AND RUN LTD"</f>
        <v>HIT AND RUN LTD</v>
      </c>
      <c r="B1413" t="str">
        <f>"12968375"</f>
        <v>12968375</v>
      </c>
      <c r="C1413" s="2" t="s">
        <v>20</v>
      </c>
      <c r="D1413" s="2" t="s">
        <v>89</v>
      </c>
      <c r="E1413" s="4">
        <v>45236</v>
      </c>
    </row>
    <row r="1414" spans="1:5" x14ac:dyDescent="0.25">
      <c r="A1414" s="1" t="str">
        <f>"KEPLER HOMES LTD"</f>
        <v>KEPLER HOMES LTD</v>
      </c>
      <c r="B1414" t="str">
        <f>"09214795"</f>
        <v>09214795</v>
      </c>
      <c r="C1414" s="2" t="s">
        <v>20</v>
      </c>
      <c r="D1414" s="2" t="s">
        <v>89</v>
      </c>
      <c r="E1414" s="4">
        <v>45238</v>
      </c>
    </row>
    <row r="1415" spans="1:5" x14ac:dyDescent="0.25">
      <c r="A1415" s="1" t="str">
        <f>"ROBINSON ESTATE AGENTS LIMITED"</f>
        <v>ROBINSON ESTATE AGENTS LIMITED</v>
      </c>
      <c r="B1415" t="str">
        <f>"07054697"</f>
        <v>07054697</v>
      </c>
      <c r="C1415" s="2" t="s">
        <v>20</v>
      </c>
      <c r="D1415" s="2" t="s">
        <v>89</v>
      </c>
      <c r="E1415" s="4">
        <v>45238</v>
      </c>
    </row>
    <row r="1416" spans="1:5" x14ac:dyDescent="0.25">
      <c r="A1416" s="1" t="str">
        <f>"A.P.T. COACHES LIMITED"</f>
        <v>A.P.T. COACHES LIMITED</v>
      </c>
      <c r="B1416" t="str">
        <f>"04189514"</f>
        <v>04189514</v>
      </c>
      <c r="C1416" s="2" t="s">
        <v>20</v>
      </c>
      <c r="D1416" s="2" t="s">
        <v>89</v>
      </c>
      <c r="E1416" s="4">
        <v>45239</v>
      </c>
    </row>
    <row r="1417" spans="1:5" x14ac:dyDescent="0.25">
      <c r="A1417" s="1" t="str">
        <f>"BIN BUSY RECYCLING LIMITED"</f>
        <v>BIN BUSY RECYCLING LIMITED</v>
      </c>
      <c r="B1417" t="str">
        <f>"06831194"</f>
        <v>06831194</v>
      </c>
      <c r="C1417" s="2" t="s">
        <v>20</v>
      </c>
      <c r="D1417" s="2" t="s">
        <v>89</v>
      </c>
      <c r="E1417" s="4">
        <v>45243</v>
      </c>
    </row>
    <row r="1418" spans="1:5" x14ac:dyDescent="0.25">
      <c r="A1418" s="1" t="str">
        <f>"VITB12 SHOT LTD"</f>
        <v>VITB12 SHOT LTD</v>
      </c>
      <c r="B1418" t="str">
        <f>"11357277"</f>
        <v>11357277</v>
      </c>
      <c r="C1418" s="2" t="s">
        <v>20</v>
      </c>
      <c r="D1418" s="2" t="s">
        <v>89</v>
      </c>
      <c r="E1418" s="4">
        <v>45245</v>
      </c>
    </row>
    <row r="1419" spans="1:5" x14ac:dyDescent="0.25">
      <c r="A1419" s="1" t="str">
        <f>"CHARIOTS OF ESSEX TRAVEL LTD"</f>
        <v>CHARIOTS OF ESSEX TRAVEL LTD</v>
      </c>
      <c r="B1419" t="str">
        <f>"09265485"</f>
        <v>09265485</v>
      </c>
      <c r="C1419" s="2" t="s">
        <v>20</v>
      </c>
      <c r="D1419" s="2" t="s">
        <v>89</v>
      </c>
      <c r="E1419" s="4">
        <v>45245</v>
      </c>
    </row>
    <row r="1420" spans="1:5" x14ac:dyDescent="0.25">
      <c r="A1420" s="1" t="s">
        <v>646</v>
      </c>
      <c r="B1420">
        <v>10428313</v>
      </c>
      <c r="C1420" s="2" t="s">
        <v>20</v>
      </c>
      <c r="D1420" s="2" t="s">
        <v>89</v>
      </c>
      <c r="E1420" s="4">
        <v>45246</v>
      </c>
    </row>
    <row r="1421" spans="1:5" x14ac:dyDescent="0.25">
      <c r="A1421" s="1" t="str">
        <f>"ENANO CARE LIMITED"</f>
        <v>ENANO CARE LIMITED</v>
      </c>
      <c r="B1421" t="str">
        <f>"10900862"</f>
        <v>10900862</v>
      </c>
      <c r="C1421" s="2" t="s">
        <v>20</v>
      </c>
      <c r="D1421" s="2" t="s">
        <v>89</v>
      </c>
      <c r="E1421" s="4">
        <v>45251</v>
      </c>
    </row>
    <row r="1422" spans="1:5" x14ac:dyDescent="0.25">
      <c r="A1422" s="1" t="str">
        <f>"B.K. RECYCLING CENTRE LTD"</f>
        <v>B.K. RECYCLING CENTRE LTD</v>
      </c>
      <c r="B1422" t="str">
        <f>"14528437"</f>
        <v>14528437</v>
      </c>
      <c r="C1422" s="2" t="s">
        <v>20</v>
      </c>
      <c r="D1422" s="2" t="s">
        <v>89</v>
      </c>
      <c r="E1422" s="4">
        <v>45253</v>
      </c>
    </row>
    <row r="1423" spans="1:5" x14ac:dyDescent="0.25">
      <c r="A1423" s="1" t="str">
        <f>"D ROBINSON BUILDING SERVICES LIMITED"</f>
        <v>D ROBINSON BUILDING SERVICES LIMITED</v>
      </c>
      <c r="B1423" t="str">
        <f>"08956148"</f>
        <v>08956148</v>
      </c>
      <c r="C1423" s="2" t="s">
        <v>20</v>
      </c>
      <c r="D1423" s="2" t="s">
        <v>89</v>
      </c>
      <c r="E1423" s="4">
        <v>45257</v>
      </c>
    </row>
    <row r="1424" spans="1:5" x14ac:dyDescent="0.25">
      <c r="A1424" s="1" t="s">
        <v>575</v>
      </c>
      <c r="B1424">
        <v>11644734</v>
      </c>
      <c r="C1424" s="2" t="s">
        <v>20</v>
      </c>
      <c r="D1424" s="2" t="s">
        <v>205</v>
      </c>
      <c r="E1424" s="4">
        <v>45229</v>
      </c>
    </row>
    <row r="1425" spans="1:5" x14ac:dyDescent="0.25">
      <c r="A1425" s="1" t="str">
        <f>"SICARIO MANAGEMENT LTD"</f>
        <v>SICARIO MANAGEMENT LTD</v>
      </c>
      <c r="B1425" t="str">
        <f>"10918241"</f>
        <v>10918241</v>
      </c>
      <c r="C1425" s="2" t="s">
        <v>20</v>
      </c>
      <c r="D1425" s="2" t="s">
        <v>205</v>
      </c>
      <c r="E1425" s="4">
        <v>45229</v>
      </c>
    </row>
    <row r="1426" spans="1:5" x14ac:dyDescent="0.25">
      <c r="A1426" s="1" t="str">
        <f>"SICARIO PRODUCTIONS LTD"</f>
        <v>SICARIO PRODUCTIONS LTD</v>
      </c>
      <c r="B1426" t="str">
        <f>"09830819"</f>
        <v>09830819</v>
      </c>
      <c r="C1426" s="2" t="s">
        <v>20</v>
      </c>
      <c r="D1426" s="2" t="s">
        <v>205</v>
      </c>
      <c r="E1426" s="4">
        <v>45229</v>
      </c>
    </row>
    <row r="1427" spans="1:5" x14ac:dyDescent="0.25">
      <c r="A1427" s="1" t="s">
        <v>581</v>
      </c>
      <c r="B1427">
        <v>12764115</v>
      </c>
      <c r="C1427" s="2" t="s">
        <v>20</v>
      </c>
      <c r="D1427" s="2" t="s">
        <v>205</v>
      </c>
      <c r="E1427" s="4">
        <v>45229</v>
      </c>
    </row>
    <row r="1428" spans="1:5" x14ac:dyDescent="0.25">
      <c r="A1428" s="1" t="str">
        <f>"KROG INTERIORS LTD"</f>
        <v>KROG INTERIORS LTD</v>
      </c>
      <c r="B1428" t="str">
        <f>"10892719"</f>
        <v>10892719</v>
      </c>
      <c r="C1428" s="2" t="s">
        <v>20</v>
      </c>
      <c r="D1428" s="2" t="s">
        <v>205</v>
      </c>
      <c r="E1428" s="4">
        <v>45232</v>
      </c>
    </row>
    <row r="1429" spans="1:5" x14ac:dyDescent="0.25">
      <c r="A1429" s="1" t="str">
        <f>"ASTOR CONTRACT INTERIORS LTD"</f>
        <v>ASTOR CONTRACT INTERIORS LTD</v>
      </c>
      <c r="B1429" t="str">
        <f>"12297444"</f>
        <v>12297444</v>
      </c>
      <c r="C1429" s="2" t="s">
        <v>20</v>
      </c>
      <c r="D1429" s="2" t="s">
        <v>205</v>
      </c>
      <c r="E1429" s="4">
        <v>45236</v>
      </c>
    </row>
    <row r="1430" spans="1:5" x14ac:dyDescent="0.25">
      <c r="A1430" s="1" t="s">
        <v>704</v>
      </c>
      <c r="B1430" t="s">
        <v>705</v>
      </c>
      <c r="C1430" s="2" t="s">
        <v>20</v>
      </c>
      <c r="D1430" s="2" t="s">
        <v>205</v>
      </c>
      <c r="E1430" s="4">
        <v>45247</v>
      </c>
    </row>
    <row r="1431" spans="1:5" x14ac:dyDescent="0.25">
      <c r="A1431" s="1" t="str">
        <f>"LEGALMATTERS LIMITED"</f>
        <v>LEGALMATTERS LIMITED</v>
      </c>
      <c r="B1431" t="str">
        <f>"08216822"</f>
        <v>08216822</v>
      </c>
      <c r="C1431" s="2" t="s">
        <v>20</v>
      </c>
      <c r="D1431" s="2" t="s">
        <v>205</v>
      </c>
      <c r="E1431" s="4">
        <v>45252</v>
      </c>
    </row>
    <row r="1432" spans="1:5" x14ac:dyDescent="0.25">
      <c r="A1432" s="1" t="str">
        <f>"A.C.E. METALWORKS LIMITED"</f>
        <v>A.C.E. METALWORKS LIMITED</v>
      </c>
      <c r="B1432" t="str">
        <f>"04532542"</f>
        <v>04532542</v>
      </c>
      <c r="C1432" s="2" t="s">
        <v>215</v>
      </c>
      <c r="D1432" s="2" t="s">
        <v>216</v>
      </c>
      <c r="E1432" s="4">
        <v>45225</v>
      </c>
    </row>
    <row r="1433" spans="1:5" x14ac:dyDescent="0.25">
      <c r="A1433" s="1" t="s">
        <v>851</v>
      </c>
      <c r="B1433">
        <v>12287964</v>
      </c>
      <c r="C1433" s="2" t="s">
        <v>215</v>
      </c>
      <c r="D1433" s="2" t="s">
        <v>216</v>
      </c>
      <c r="E1433" s="4">
        <v>45247</v>
      </c>
    </row>
    <row r="1434" spans="1:5" x14ac:dyDescent="0.25">
      <c r="A1434" s="1" t="s">
        <v>381</v>
      </c>
      <c r="B1434">
        <v>9801571</v>
      </c>
      <c r="C1434" s="2" t="s">
        <v>244</v>
      </c>
      <c r="D1434" s="2" t="s">
        <v>49</v>
      </c>
      <c r="E1434" s="4">
        <v>45229</v>
      </c>
    </row>
    <row r="1435" spans="1:5" x14ac:dyDescent="0.25">
      <c r="A1435" s="1" t="str">
        <f>"REGRUB TT LTD"</f>
        <v>REGRUB TT LTD</v>
      </c>
      <c r="B1435" t="str">
        <f>"13879352"</f>
        <v>13879352</v>
      </c>
      <c r="C1435" s="2" t="s">
        <v>244</v>
      </c>
      <c r="D1435" s="2" t="s">
        <v>49</v>
      </c>
      <c r="E1435" s="4">
        <v>45243</v>
      </c>
    </row>
    <row r="1436" spans="1:5" x14ac:dyDescent="0.25">
      <c r="A1436" s="1" t="str">
        <f>"REGRUB HI LTD"</f>
        <v>REGRUB HI LTD</v>
      </c>
      <c r="B1436" t="str">
        <f>"12942794"</f>
        <v>12942794</v>
      </c>
      <c r="C1436" s="2" t="s">
        <v>244</v>
      </c>
      <c r="D1436" s="2" t="s">
        <v>49</v>
      </c>
      <c r="E1436" s="4">
        <v>45243</v>
      </c>
    </row>
    <row r="1437" spans="1:5" x14ac:dyDescent="0.25">
      <c r="A1437" s="1" t="s">
        <v>620</v>
      </c>
      <c r="B1437">
        <v>10937359</v>
      </c>
      <c r="C1437" s="2" t="s">
        <v>244</v>
      </c>
      <c r="D1437" s="2" t="s">
        <v>49</v>
      </c>
      <c r="E1437" s="4">
        <v>45250</v>
      </c>
    </row>
    <row r="1438" spans="1:5" x14ac:dyDescent="0.25">
      <c r="A1438" s="1" t="str">
        <f>"DOVECOTE LTD"</f>
        <v>DOVECOTE LTD</v>
      </c>
      <c r="B1438" t="str">
        <f>"11085657"</f>
        <v>11085657</v>
      </c>
      <c r="C1438" s="2" t="s">
        <v>609</v>
      </c>
      <c r="D1438" s="2" t="s">
        <v>34</v>
      </c>
      <c r="E1438" s="4">
        <v>45243</v>
      </c>
    </row>
    <row r="1439" spans="1:5" x14ac:dyDescent="0.25">
      <c r="A1439" s="1" t="str">
        <f>"NICHOLAS EDWARD GARDENS LTD"</f>
        <v>NICHOLAS EDWARD GARDENS LTD</v>
      </c>
      <c r="B1439" t="str">
        <f>"11261417"</f>
        <v>11261417</v>
      </c>
      <c r="C1439" s="2" t="s">
        <v>18</v>
      </c>
      <c r="D1439" s="2" t="s">
        <v>19</v>
      </c>
      <c r="E1439" s="4">
        <v>45232</v>
      </c>
    </row>
    <row r="1440" spans="1:5" x14ac:dyDescent="0.25">
      <c r="A1440" s="1" t="str">
        <f>"P.A. BUSINESS SOLUTIONS LIMITED"</f>
        <v>P.A. BUSINESS SOLUTIONS LIMITED</v>
      </c>
      <c r="B1440" t="str">
        <f>"07216790"</f>
        <v>07216790</v>
      </c>
      <c r="C1440" s="2" t="s">
        <v>18</v>
      </c>
      <c r="D1440" s="2" t="s">
        <v>19</v>
      </c>
      <c r="E1440" s="4">
        <v>45238</v>
      </c>
    </row>
    <row r="1441" spans="1:5" x14ac:dyDescent="0.25">
      <c r="A1441" s="1" t="str">
        <f>"R N GROUND DEVELOPMENTS LIMITED"</f>
        <v>R N GROUND DEVELOPMENTS LIMITED</v>
      </c>
      <c r="B1441" t="str">
        <f>"07652620"</f>
        <v>07652620</v>
      </c>
      <c r="C1441" s="2" t="s">
        <v>18</v>
      </c>
      <c r="D1441" s="2" t="s">
        <v>19</v>
      </c>
      <c r="E1441" s="4">
        <v>45238</v>
      </c>
    </row>
    <row r="1442" spans="1:5" x14ac:dyDescent="0.25">
      <c r="A1442" s="1" t="s">
        <v>703</v>
      </c>
      <c r="B1442">
        <v>12133296</v>
      </c>
      <c r="C1442" s="2" t="s">
        <v>18</v>
      </c>
      <c r="D1442" s="2" t="s">
        <v>19</v>
      </c>
      <c r="E1442" s="4">
        <v>45244</v>
      </c>
    </row>
    <row r="1443" spans="1:5" x14ac:dyDescent="0.25">
      <c r="A1443" s="1" t="str">
        <f>"METHERINGHAM STONE LIMITED"</f>
        <v>METHERINGHAM STONE LIMITED</v>
      </c>
      <c r="B1443" t="str">
        <f>"11074091"</f>
        <v>11074091</v>
      </c>
      <c r="C1443" s="2" t="s">
        <v>18</v>
      </c>
      <c r="D1443" s="2" t="s">
        <v>19</v>
      </c>
      <c r="E1443" s="4">
        <v>45246</v>
      </c>
    </row>
    <row r="1444" spans="1:5" x14ac:dyDescent="0.25">
      <c r="A1444" s="1" t="str">
        <f>"C. HOULDERSHAW &amp; SONS LIMITED"</f>
        <v>C. HOULDERSHAW &amp; SONS LIMITED</v>
      </c>
      <c r="B1444" t="str">
        <f>"02111785"</f>
        <v>02111785</v>
      </c>
      <c r="C1444" s="2" t="s">
        <v>18</v>
      </c>
      <c r="D1444" s="2" t="s">
        <v>19</v>
      </c>
      <c r="E1444" s="4">
        <v>45257</v>
      </c>
    </row>
    <row r="1445" spans="1:5" x14ac:dyDescent="0.25">
      <c r="A1445" s="1" t="s">
        <v>521</v>
      </c>
      <c r="B1445">
        <v>9384935</v>
      </c>
      <c r="C1445" s="2" t="s">
        <v>522</v>
      </c>
      <c r="D1445" s="2" t="s">
        <v>278</v>
      </c>
      <c r="E1445" s="4">
        <v>45231</v>
      </c>
    </row>
    <row r="1446" spans="1:5" x14ac:dyDescent="0.25">
      <c r="A1446" s="1" t="str">
        <f>"JEFFREYS HENRY LLP"</f>
        <v>JEFFREYS HENRY LLP</v>
      </c>
      <c r="B1446" t="str">
        <f>"OC306971"</f>
        <v>OC306971</v>
      </c>
      <c r="C1446" s="2" t="s">
        <v>346</v>
      </c>
      <c r="D1446" s="2" t="s">
        <v>7</v>
      </c>
      <c r="E1446" s="4">
        <v>45229</v>
      </c>
    </row>
    <row r="1447" spans="1:5" x14ac:dyDescent="0.25">
      <c r="A1447" s="1" t="str">
        <f>"EMPATHIC TECHNOLOGIES LTD."</f>
        <v>EMPATHIC TECHNOLOGIES LTD.</v>
      </c>
      <c r="B1447" t="str">
        <f>"09233425"</f>
        <v>09233425</v>
      </c>
      <c r="C1447" s="2" t="s">
        <v>346</v>
      </c>
      <c r="D1447" s="2" t="s">
        <v>7</v>
      </c>
      <c r="E1447" s="4">
        <v>45240</v>
      </c>
    </row>
    <row r="1448" spans="1:5" x14ac:dyDescent="0.25">
      <c r="A1448" s="1" t="str">
        <f>"HOUND HELPERS LIMITED"</f>
        <v>HOUND HELPERS LIMITED</v>
      </c>
      <c r="B1448" t="str">
        <f>"06453679"</f>
        <v>06453679</v>
      </c>
      <c r="C1448" s="2" t="s">
        <v>588</v>
      </c>
      <c r="D1448" s="2" t="s">
        <v>47</v>
      </c>
      <c r="E1448" s="4">
        <v>45232</v>
      </c>
    </row>
    <row r="1449" spans="1:5" x14ac:dyDescent="0.25">
      <c r="A1449" s="1" t="str">
        <f>"RIOMAR HOLDINGS LIMITED"</f>
        <v>RIOMAR HOLDINGS LIMITED</v>
      </c>
      <c r="B1449" t="str">
        <f>"11955839"</f>
        <v>11955839</v>
      </c>
      <c r="C1449" s="2" t="s">
        <v>307</v>
      </c>
      <c r="D1449" s="2" t="s">
        <v>85</v>
      </c>
      <c r="E1449" s="4">
        <v>45236</v>
      </c>
    </row>
    <row r="1450" spans="1:5" x14ac:dyDescent="0.25">
      <c r="A1450" s="1" t="str">
        <f>"CHERISH U LTD"</f>
        <v>CHERISH U LTD</v>
      </c>
      <c r="B1450" t="str">
        <f>"07493902"</f>
        <v>07493902</v>
      </c>
      <c r="C1450" s="2" t="s">
        <v>307</v>
      </c>
      <c r="D1450" s="2" t="s">
        <v>85</v>
      </c>
      <c r="E1450" s="4">
        <v>45243</v>
      </c>
    </row>
    <row r="1451" spans="1:5" x14ac:dyDescent="0.25">
      <c r="A1451" s="1" t="str">
        <f>"ESSENTIAL PROJECT SOLUTIONS LTD"</f>
        <v>ESSENTIAL PROJECT SOLUTIONS LTD</v>
      </c>
      <c r="B1451" t="str">
        <f>"08371908"</f>
        <v>08371908</v>
      </c>
      <c r="C1451" s="2" t="s">
        <v>862</v>
      </c>
      <c r="D1451" s="2" t="s">
        <v>85</v>
      </c>
      <c r="E1451" s="4">
        <v>45257</v>
      </c>
    </row>
    <row r="1452" spans="1:5" x14ac:dyDescent="0.25">
      <c r="A1452" s="1" t="str">
        <f>"UTNI LIMITED"</f>
        <v>UTNI LIMITED</v>
      </c>
      <c r="B1452" t="str">
        <f>"06022041"</f>
        <v>06022041</v>
      </c>
      <c r="C1452" s="2" t="s">
        <v>862</v>
      </c>
      <c r="D1452" s="2" t="s">
        <v>85</v>
      </c>
      <c r="E1452" s="4">
        <v>45257</v>
      </c>
    </row>
    <row r="1453" spans="1:5" x14ac:dyDescent="0.25">
      <c r="A1453" s="1" t="s">
        <v>814</v>
      </c>
      <c r="B1453">
        <v>5528887</v>
      </c>
      <c r="C1453" s="2" t="s">
        <v>270</v>
      </c>
      <c r="D1453" s="2" t="s">
        <v>229</v>
      </c>
      <c r="E1453" s="4">
        <v>45253</v>
      </c>
    </row>
    <row r="1454" spans="1:5" x14ac:dyDescent="0.25">
      <c r="A1454" s="1" t="str">
        <f>"TBP LEGAL LTD"</f>
        <v>TBP LEGAL LTD</v>
      </c>
      <c r="B1454" t="str">
        <f>"09651120"</f>
        <v>09651120</v>
      </c>
      <c r="C1454" s="2" t="s">
        <v>270</v>
      </c>
      <c r="D1454" s="2" t="s">
        <v>229</v>
      </c>
      <c r="E1454" s="4">
        <v>45254</v>
      </c>
    </row>
    <row r="1455" spans="1:5" x14ac:dyDescent="0.25">
      <c r="A1455" s="1" t="str">
        <f>"APT HOMES DESIGN &amp; BUILD LTD"</f>
        <v>APT HOMES DESIGN &amp; BUILD LTD</v>
      </c>
      <c r="B1455" t="str">
        <f>"11223995"</f>
        <v>11223995</v>
      </c>
      <c r="C1455" s="2" t="s">
        <v>46</v>
      </c>
      <c r="D1455" s="2" t="s">
        <v>47</v>
      </c>
      <c r="E1455" s="4">
        <v>45230</v>
      </c>
    </row>
    <row r="1456" spans="1:5" x14ac:dyDescent="0.25">
      <c r="A1456" s="1" t="str">
        <f>"DATALEX (PROCESS) LIMITED"</f>
        <v>DATALEX (PROCESS) LIMITED</v>
      </c>
      <c r="B1456" t="str">
        <f>"13671932"</f>
        <v>13671932</v>
      </c>
      <c r="C1456" s="2" t="s">
        <v>46</v>
      </c>
      <c r="D1456" s="2" t="s">
        <v>47</v>
      </c>
      <c r="E1456" s="4">
        <v>45230</v>
      </c>
    </row>
    <row r="1457" spans="1:5" x14ac:dyDescent="0.25">
      <c r="A1457" s="1" t="str">
        <f>"MAGNUS LEGAL TECHNOLOGY LTD"</f>
        <v>MAGNUS LEGAL TECHNOLOGY LTD</v>
      </c>
      <c r="B1457" t="str">
        <f>"12219265"</f>
        <v>12219265</v>
      </c>
      <c r="C1457" s="2" t="s">
        <v>46</v>
      </c>
      <c r="D1457" s="2" t="s">
        <v>47</v>
      </c>
      <c r="E1457" s="4">
        <v>45230</v>
      </c>
    </row>
    <row r="1458" spans="1:5" x14ac:dyDescent="0.25">
      <c r="A1458" s="1" t="str">
        <f>"PROSPECT FILMS AND EVENTS LTD"</f>
        <v>PROSPECT FILMS AND EVENTS LTD</v>
      </c>
      <c r="B1458" t="str">
        <f>"11425271"</f>
        <v>11425271</v>
      </c>
      <c r="C1458" s="2" t="s">
        <v>46</v>
      </c>
      <c r="D1458" s="2" t="s">
        <v>47</v>
      </c>
      <c r="E1458" s="4">
        <v>45230</v>
      </c>
    </row>
    <row r="1459" spans="1:5" x14ac:dyDescent="0.25">
      <c r="A1459" s="1" t="str">
        <f>"SQL TESTING LIMITED"</f>
        <v>SQL TESTING LIMITED</v>
      </c>
      <c r="B1459" t="str">
        <f>"08926926"</f>
        <v>08926926</v>
      </c>
      <c r="C1459" s="2" t="s">
        <v>46</v>
      </c>
      <c r="D1459" s="2" t="s">
        <v>47</v>
      </c>
      <c r="E1459" s="4">
        <v>45230</v>
      </c>
    </row>
    <row r="1460" spans="1:5" x14ac:dyDescent="0.25">
      <c r="A1460" s="1" t="str">
        <f>"CENTRAL ELECTRICAL CONTRACTING LIMITED"</f>
        <v>CENTRAL ELECTRICAL CONTRACTING LIMITED</v>
      </c>
      <c r="B1460" t="str">
        <f>"11683712"</f>
        <v>11683712</v>
      </c>
      <c r="C1460" s="2" t="s">
        <v>46</v>
      </c>
      <c r="D1460" s="2" t="s">
        <v>47</v>
      </c>
      <c r="E1460" s="4">
        <v>45230</v>
      </c>
    </row>
    <row r="1461" spans="1:5" x14ac:dyDescent="0.25">
      <c r="A1461" s="1" t="str">
        <f>"HINTON HCW LTD"</f>
        <v>HINTON HCW LTD</v>
      </c>
      <c r="B1461" t="str">
        <f>"11727856"</f>
        <v>11727856</v>
      </c>
      <c r="C1461" s="2" t="s">
        <v>46</v>
      </c>
      <c r="D1461" s="2" t="s">
        <v>47</v>
      </c>
      <c r="E1461" s="4">
        <v>45230</v>
      </c>
    </row>
    <row r="1462" spans="1:5" x14ac:dyDescent="0.25">
      <c r="A1462" s="1" t="str">
        <f>"PRUDENT HOME LIMITED"</f>
        <v>PRUDENT HOME LIMITED</v>
      </c>
      <c r="B1462" t="str">
        <f>"12633597"</f>
        <v>12633597</v>
      </c>
      <c r="C1462" s="2" t="s">
        <v>46</v>
      </c>
      <c r="D1462" s="2" t="s">
        <v>47</v>
      </c>
      <c r="E1462" s="4">
        <v>45237</v>
      </c>
    </row>
    <row r="1463" spans="1:5" x14ac:dyDescent="0.25">
      <c r="A1463" s="1" t="str">
        <f>"MILAN BUILDING SERVICES LTD"</f>
        <v>MILAN BUILDING SERVICES LTD</v>
      </c>
      <c r="B1463" t="str">
        <f>"05000091"</f>
        <v>05000091</v>
      </c>
      <c r="C1463" s="2" t="s">
        <v>46</v>
      </c>
      <c r="D1463" s="2" t="s">
        <v>47</v>
      </c>
      <c r="E1463" s="4">
        <v>45237</v>
      </c>
    </row>
    <row r="1464" spans="1:5" x14ac:dyDescent="0.25">
      <c r="A1464" s="1" t="str">
        <f>"EURO ASIAN COMMERCE LTD"</f>
        <v>EURO ASIAN COMMERCE LTD</v>
      </c>
      <c r="B1464" t="str">
        <f>"07266314"</f>
        <v>07266314</v>
      </c>
      <c r="C1464" s="2" t="s">
        <v>46</v>
      </c>
      <c r="D1464" s="2" t="s">
        <v>47</v>
      </c>
      <c r="E1464" s="4">
        <v>45237</v>
      </c>
    </row>
    <row r="1465" spans="1:5" x14ac:dyDescent="0.25">
      <c r="A1465" s="1" t="str">
        <f>"OCTO NOVEM LIMITED"</f>
        <v>OCTO NOVEM LIMITED</v>
      </c>
      <c r="B1465" t="str">
        <f>"08999387"</f>
        <v>08999387</v>
      </c>
      <c r="C1465" s="2" t="s">
        <v>46</v>
      </c>
      <c r="D1465" s="2" t="s">
        <v>47</v>
      </c>
      <c r="E1465" s="4">
        <v>45244</v>
      </c>
    </row>
    <row r="1466" spans="1:5" x14ac:dyDescent="0.25">
      <c r="A1466" s="1" t="str">
        <f>"STRATTON OAKMONT ACCESS LTD"</f>
        <v>STRATTON OAKMONT ACCESS LTD</v>
      </c>
      <c r="B1466" t="str">
        <f>"09378958"</f>
        <v>09378958</v>
      </c>
      <c r="C1466" s="2" t="s">
        <v>46</v>
      </c>
      <c r="D1466" s="2" t="s">
        <v>47</v>
      </c>
      <c r="E1466" s="4">
        <v>45244</v>
      </c>
    </row>
    <row r="1467" spans="1:5" x14ac:dyDescent="0.25">
      <c r="A1467" s="1" t="str">
        <f>"TIPTOP IT LTD"</f>
        <v>TIPTOP IT LTD</v>
      </c>
      <c r="B1467" t="str">
        <f>"11490036"</f>
        <v>11490036</v>
      </c>
      <c r="C1467" s="2" t="s">
        <v>46</v>
      </c>
      <c r="D1467" s="2" t="s">
        <v>47</v>
      </c>
      <c r="E1467" s="4">
        <v>45251</v>
      </c>
    </row>
    <row r="1468" spans="1:5" x14ac:dyDescent="0.25">
      <c r="A1468" s="1" t="str">
        <f>"ERNST RODGERS LIMITED"</f>
        <v>ERNST RODGERS LIMITED</v>
      </c>
      <c r="B1468" t="str">
        <f>"09662666"</f>
        <v>09662666</v>
      </c>
      <c r="C1468" s="2" t="s">
        <v>46</v>
      </c>
      <c r="D1468" s="2" t="s">
        <v>47</v>
      </c>
      <c r="E1468" s="4">
        <v>45258</v>
      </c>
    </row>
    <row r="1469" spans="1:5" x14ac:dyDescent="0.25">
      <c r="A1469" s="1" t="str">
        <f>"LANCE ENGINEERING LTD"</f>
        <v>LANCE ENGINEERING LTD</v>
      </c>
      <c r="B1469" t="str">
        <f>"08718228"</f>
        <v>08718228</v>
      </c>
      <c r="C1469" s="2" t="s">
        <v>46</v>
      </c>
      <c r="D1469" s="2" t="s">
        <v>47</v>
      </c>
      <c r="E1469" s="4">
        <v>45258</v>
      </c>
    </row>
    <row r="1470" spans="1:5" x14ac:dyDescent="0.25">
      <c r="A1470" s="1" t="str">
        <f>"COMPARE YOUR SHAADI LTD"</f>
        <v>COMPARE YOUR SHAADI LTD</v>
      </c>
      <c r="B1470" t="str">
        <f>"07892072"</f>
        <v>07892072</v>
      </c>
      <c r="C1470" s="2" t="s">
        <v>46</v>
      </c>
      <c r="D1470" s="2" t="s">
        <v>47</v>
      </c>
      <c r="E1470" s="4">
        <v>45258</v>
      </c>
    </row>
    <row r="1471" spans="1:5" x14ac:dyDescent="0.25">
      <c r="A1471" s="1" t="str">
        <f>"ACADEMY SERVICES GROUP LIMITED"</f>
        <v>ACADEMY SERVICES GROUP LIMITED</v>
      </c>
      <c r="B1471" t="str">
        <f>"10431571"</f>
        <v>10431571</v>
      </c>
      <c r="C1471" s="2" t="s">
        <v>104</v>
      </c>
      <c r="D1471" s="2" t="s">
        <v>105</v>
      </c>
      <c r="E1471" s="4">
        <v>45167</v>
      </c>
    </row>
    <row r="1472" spans="1:5" x14ac:dyDescent="0.25">
      <c r="A1472" s="1" t="str">
        <f>"WHIZAMET SERVICES LLP"</f>
        <v>WHIZAMET SERVICES LLP</v>
      </c>
      <c r="B1472" t="str">
        <f>"OC426842"</f>
        <v>OC426842</v>
      </c>
      <c r="C1472" s="2" t="s">
        <v>104</v>
      </c>
      <c r="D1472" s="2" t="s">
        <v>105</v>
      </c>
      <c r="E1472" s="4">
        <v>45222</v>
      </c>
    </row>
    <row r="1473" spans="1:5" x14ac:dyDescent="0.25">
      <c r="A1473" s="1" t="s">
        <v>457</v>
      </c>
      <c r="B1473">
        <v>12362028</v>
      </c>
      <c r="C1473" s="2" t="s">
        <v>104</v>
      </c>
      <c r="D1473" s="2" t="s">
        <v>105</v>
      </c>
      <c r="E1473" s="4">
        <v>45225</v>
      </c>
    </row>
    <row r="1474" spans="1:5" x14ac:dyDescent="0.25">
      <c r="A1474" s="1" t="s">
        <v>487</v>
      </c>
      <c r="B1474">
        <v>11853403</v>
      </c>
      <c r="C1474" s="2" t="s">
        <v>104</v>
      </c>
      <c r="D1474" s="2" t="s">
        <v>105</v>
      </c>
      <c r="E1474" s="4">
        <v>45230</v>
      </c>
    </row>
    <row r="1475" spans="1:5" x14ac:dyDescent="0.25">
      <c r="A1475" s="1" t="s">
        <v>552</v>
      </c>
      <c r="B1475">
        <v>11890516</v>
      </c>
      <c r="C1475" s="2" t="s">
        <v>104</v>
      </c>
      <c r="D1475" s="2" t="s">
        <v>105</v>
      </c>
      <c r="E1475" s="4">
        <v>45230</v>
      </c>
    </row>
    <row r="1476" spans="1:5" x14ac:dyDescent="0.25">
      <c r="A1476" s="1" t="str">
        <f>"TKITUK LTD"</f>
        <v>TKITUK LTD</v>
      </c>
      <c r="B1476" t="str">
        <f>"11986038"</f>
        <v>11986038</v>
      </c>
      <c r="C1476" s="2" t="s">
        <v>104</v>
      </c>
      <c r="D1476" s="2" t="s">
        <v>105</v>
      </c>
      <c r="E1476" s="4">
        <v>45230</v>
      </c>
    </row>
    <row r="1477" spans="1:5" x14ac:dyDescent="0.25">
      <c r="A1477" s="1" t="str">
        <f>"GROSVENOR DEVELOPMENTS (AL) LTD"</f>
        <v>GROSVENOR DEVELOPMENTS (AL) LTD</v>
      </c>
      <c r="B1477" t="str">
        <f>"10053063"</f>
        <v>10053063</v>
      </c>
      <c r="C1477" s="2" t="s">
        <v>104</v>
      </c>
      <c r="D1477" s="2" t="s">
        <v>105</v>
      </c>
      <c r="E1477" s="4">
        <v>45230</v>
      </c>
    </row>
    <row r="1478" spans="1:5" x14ac:dyDescent="0.25">
      <c r="A1478" s="1" t="str">
        <f>"BRANDED ACCESSORIES LIMITED"</f>
        <v>BRANDED ACCESSORIES LIMITED</v>
      </c>
      <c r="B1478" t="str">
        <f>"10613732"</f>
        <v>10613732</v>
      </c>
      <c r="C1478" s="2" t="s">
        <v>104</v>
      </c>
      <c r="D1478" s="2" t="s">
        <v>105</v>
      </c>
      <c r="E1478" s="4">
        <v>45233</v>
      </c>
    </row>
    <row r="1479" spans="1:5" x14ac:dyDescent="0.25">
      <c r="A1479" s="1" t="str">
        <f>"BOLOGNA RESTAURANT LTD"</f>
        <v>BOLOGNA RESTAURANT LTD</v>
      </c>
      <c r="B1479" t="str">
        <f>"13430477"</f>
        <v>13430477</v>
      </c>
      <c r="C1479" s="2" t="s">
        <v>104</v>
      </c>
      <c r="D1479" s="2" t="s">
        <v>105</v>
      </c>
      <c r="E1479" s="4">
        <v>45237</v>
      </c>
    </row>
    <row r="1480" spans="1:5" x14ac:dyDescent="0.25">
      <c r="A1480" s="1" t="str">
        <f>"TOTALLY LOADED LTD"</f>
        <v>TOTALLY LOADED LTD</v>
      </c>
      <c r="B1480" t="str">
        <f>"12095518"</f>
        <v>12095518</v>
      </c>
      <c r="C1480" s="2" t="s">
        <v>370</v>
      </c>
      <c r="D1480" s="2" t="s">
        <v>105</v>
      </c>
      <c r="E1480" s="4">
        <v>45239</v>
      </c>
    </row>
    <row r="1481" spans="1:5" x14ac:dyDescent="0.25">
      <c r="A1481" s="1" t="str">
        <f>"CIBCO LIMITED"</f>
        <v>CIBCO LIMITED</v>
      </c>
      <c r="B1481" t="str">
        <f>"05007881"</f>
        <v>05007881</v>
      </c>
      <c r="C1481" s="2" t="s">
        <v>370</v>
      </c>
      <c r="D1481" s="2" t="s">
        <v>105</v>
      </c>
      <c r="E1481" s="4">
        <v>45240</v>
      </c>
    </row>
    <row r="1482" spans="1:5" x14ac:dyDescent="0.25">
      <c r="A1482" s="1" t="str">
        <f>"DOG MEADOW ADVENTURE PARK LTD"</f>
        <v>DOG MEADOW ADVENTURE PARK LTD</v>
      </c>
      <c r="B1482" t="str">
        <f>"12244917"</f>
        <v>12244917</v>
      </c>
      <c r="C1482" s="2" t="s">
        <v>104</v>
      </c>
      <c r="D1482" s="2" t="s">
        <v>105</v>
      </c>
      <c r="E1482" s="4">
        <v>45244</v>
      </c>
    </row>
    <row r="1483" spans="1:5" x14ac:dyDescent="0.25">
      <c r="A1483" s="1" t="str">
        <f>"PAKTURK FOODS LTD"</f>
        <v>PAKTURK FOODS LTD</v>
      </c>
      <c r="B1483" t="str">
        <f>"13706143"</f>
        <v>13706143</v>
      </c>
      <c r="C1483" s="2" t="s">
        <v>104</v>
      </c>
      <c r="D1483" s="2" t="s">
        <v>105</v>
      </c>
      <c r="E1483" s="4">
        <v>45246</v>
      </c>
    </row>
    <row r="1484" spans="1:5" x14ac:dyDescent="0.25">
      <c r="A1484" s="1" t="s">
        <v>671</v>
      </c>
      <c r="B1484">
        <v>14121694</v>
      </c>
      <c r="C1484" s="2" t="s">
        <v>104</v>
      </c>
      <c r="D1484" s="2" t="s">
        <v>105</v>
      </c>
      <c r="E1484" s="4">
        <v>45247</v>
      </c>
    </row>
    <row r="1485" spans="1:5" x14ac:dyDescent="0.25">
      <c r="A1485" s="1" t="s">
        <v>757</v>
      </c>
      <c r="B1485" t="s">
        <v>758</v>
      </c>
      <c r="C1485" s="2" t="s">
        <v>104</v>
      </c>
      <c r="D1485" s="2" t="s">
        <v>105</v>
      </c>
      <c r="E1485" s="4">
        <v>45247</v>
      </c>
    </row>
    <row r="1486" spans="1:5" x14ac:dyDescent="0.25">
      <c r="A1486" s="1" t="str">
        <f>"KATHY DATA LTD"</f>
        <v>KATHY DATA LTD</v>
      </c>
      <c r="B1486" t="str">
        <f>"12071857"</f>
        <v>12071857</v>
      </c>
      <c r="C1486" s="2" t="s">
        <v>104</v>
      </c>
      <c r="D1486" s="2" t="s">
        <v>105</v>
      </c>
      <c r="E1486" s="4">
        <v>45252</v>
      </c>
    </row>
    <row r="1487" spans="1:5" x14ac:dyDescent="0.25">
      <c r="A1487" s="1" t="str">
        <f>"LMC MUSIC LIMITED"</f>
        <v>LMC MUSIC LIMITED</v>
      </c>
      <c r="B1487" t="str">
        <f>"12192952"</f>
        <v>12192952</v>
      </c>
      <c r="C1487" s="2" t="s">
        <v>104</v>
      </c>
      <c r="D1487" s="2" t="s">
        <v>105</v>
      </c>
      <c r="E1487" s="4">
        <v>45253</v>
      </c>
    </row>
    <row r="1488" spans="1:5" x14ac:dyDescent="0.25">
      <c r="A1488" s="1" t="str">
        <f>"LOVA PROPERTIES LIMITED"</f>
        <v>LOVA PROPERTIES LIMITED</v>
      </c>
      <c r="B1488" t="str">
        <f>"10075391"</f>
        <v>10075391</v>
      </c>
      <c r="C1488" s="2" t="s">
        <v>104</v>
      </c>
      <c r="D1488" s="2" t="s">
        <v>105</v>
      </c>
      <c r="E1488" s="4">
        <v>45254</v>
      </c>
    </row>
    <row r="1489" spans="1:5" x14ac:dyDescent="0.25">
      <c r="A1489" s="1" t="str">
        <f>"A&amp;D CHELSEA LTD"</f>
        <v>A&amp;D CHELSEA LTD</v>
      </c>
      <c r="B1489" t="str">
        <f>"11646411"</f>
        <v>11646411</v>
      </c>
      <c r="C1489" s="2" t="s">
        <v>104</v>
      </c>
      <c r="D1489" s="2" t="s">
        <v>105</v>
      </c>
      <c r="E1489" s="4">
        <v>45257</v>
      </c>
    </row>
    <row r="1490" spans="1:5" x14ac:dyDescent="0.25">
      <c r="A1490" s="1" t="str">
        <f>"WE MEMORIES LTD"</f>
        <v>WE MEMORIES LTD</v>
      </c>
      <c r="B1490" t="str">
        <f>"13144965"</f>
        <v>13144965</v>
      </c>
      <c r="C1490" s="2" t="s">
        <v>104</v>
      </c>
      <c r="D1490" s="2" t="s">
        <v>105</v>
      </c>
      <c r="E1490" s="4">
        <v>45257</v>
      </c>
    </row>
    <row r="1491" spans="1:5" x14ac:dyDescent="0.25">
      <c r="A1491" s="1" t="str">
        <f>"THE PROCURE EUROPE LIMITED"</f>
        <v>THE PROCURE EUROPE LIMITED</v>
      </c>
      <c r="B1491" t="str">
        <f>"10372736"</f>
        <v>10372736</v>
      </c>
      <c r="C1491" s="2" t="s">
        <v>104</v>
      </c>
      <c r="D1491" s="2" t="s">
        <v>105</v>
      </c>
      <c r="E1491" s="4">
        <v>45258</v>
      </c>
    </row>
    <row r="1492" spans="1:5" x14ac:dyDescent="0.25">
      <c r="A1492" s="1" t="str">
        <f>"JOOMKIT LIMITED"</f>
        <v>JOOMKIT LIMITED</v>
      </c>
      <c r="B1492" t="str">
        <f>"06682016"</f>
        <v>06682016</v>
      </c>
      <c r="C1492" s="2" t="s">
        <v>104</v>
      </c>
      <c r="D1492" s="2" t="s">
        <v>105</v>
      </c>
      <c r="E1492" s="4">
        <v>45258</v>
      </c>
    </row>
    <row r="1493" spans="1:5" x14ac:dyDescent="0.25">
      <c r="A1493" s="1" t="str">
        <f>"LEWIS HAUGHTON WILLS LTD"</f>
        <v>LEWIS HAUGHTON WILLS LTD</v>
      </c>
      <c r="B1493" t="str">
        <f>"07239325"</f>
        <v>07239325</v>
      </c>
      <c r="C1493" s="2" t="s">
        <v>173</v>
      </c>
      <c r="D1493" s="2" t="s">
        <v>174</v>
      </c>
      <c r="E1493" s="4">
        <v>45237</v>
      </c>
    </row>
    <row r="1494" spans="1:5" x14ac:dyDescent="0.25">
      <c r="A1494" s="1" t="str">
        <f>"ACCEPT PAYMENTS LIMITED"</f>
        <v>ACCEPT PAYMENTS LIMITED</v>
      </c>
      <c r="B1494" t="str">
        <f>"14525924"</f>
        <v>14525924</v>
      </c>
      <c r="C1494" s="2" t="s">
        <v>173</v>
      </c>
      <c r="D1494" s="2" t="s">
        <v>174</v>
      </c>
      <c r="E1494" s="4">
        <v>45238</v>
      </c>
    </row>
    <row r="1495" spans="1:5" x14ac:dyDescent="0.25">
      <c r="A1495" s="1" t="s">
        <v>820</v>
      </c>
      <c r="B1495">
        <v>12949307</v>
      </c>
      <c r="C1495" s="2" t="s">
        <v>173</v>
      </c>
      <c r="D1495" s="2" t="s">
        <v>174</v>
      </c>
      <c r="E1495" s="4">
        <v>45253</v>
      </c>
    </row>
    <row r="1496" spans="1:5" x14ac:dyDescent="0.25">
      <c r="A1496" s="1" t="str">
        <f>"SIMA CARWASH LTD"</f>
        <v>SIMA CARWASH LTD</v>
      </c>
      <c r="B1496" t="str">
        <f>"08569718"</f>
        <v>08569718</v>
      </c>
      <c r="C1496" s="2" t="s">
        <v>605</v>
      </c>
      <c r="D1496" s="2" t="s">
        <v>606</v>
      </c>
      <c r="E1496" s="4">
        <v>45225</v>
      </c>
    </row>
    <row r="1497" spans="1:5" x14ac:dyDescent="0.25">
      <c r="A1497" s="1" t="s">
        <v>516</v>
      </c>
      <c r="B1497">
        <v>10727887</v>
      </c>
      <c r="C1497" s="2" t="s">
        <v>253</v>
      </c>
      <c r="D1497" s="2" t="s">
        <v>367</v>
      </c>
      <c r="E1497" s="4">
        <v>45230</v>
      </c>
    </row>
    <row r="1498" spans="1:5" x14ac:dyDescent="0.25">
      <c r="A1498" s="1" t="str">
        <f>"MADELEY FACADE ENGINEERING LIMITED"</f>
        <v>MADELEY FACADE ENGINEERING LIMITED</v>
      </c>
      <c r="B1498" t="str">
        <f>"06686100"</f>
        <v>06686100</v>
      </c>
      <c r="C1498" s="2" t="s">
        <v>253</v>
      </c>
      <c r="D1498" s="2" t="s">
        <v>234</v>
      </c>
      <c r="E1498" s="4">
        <v>45233</v>
      </c>
    </row>
    <row r="1499" spans="1:5" x14ac:dyDescent="0.25">
      <c r="A1499" s="1" t="str">
        <f>"ESSENTIAL FITTING LIMITED"</f>
        <v>ESSENTIAL FITTING LIMITED</v>
      </c>
      <c r="B1499" t="str">
        <f>"07661789"</f>
        <v>07661789</v>
      </c>
      <c r="C1499" s="2" t="s">
        <v>253</v>
      </c>
      <c r="D1499" s="2" t="s">
        <v>234</v>
      </c>
      <c r="E1499" s="4">
        <v>45238</v>
      </c>
    </row>
    <row r="1500" spans="1:5" x14ac:dyDescent="0.25">
      <c r="A1500" s="1" t="str">
        <f>"APS ELECTRICAL (SALOP) LTD"</f>
        <v>APS ELECTRICAL (SALOP) LTD</v>
      </c>
      <c r="B1500" t="str">
        <f>"12867841"</f>
        <v>12867841</v>
      </c>
      <c r="C1500" s="2" t="s">
        <v>253</v>
      </c>
      <c r="D1500" s="2" t="s">
        <v>234</v>
      </c>
      <c r="E1500" s="4">
        <v>45240</v>
      </c>
    </row>
    <row r="1501" spans="1:5" x14ac:dyDescent="0.25">
      <c r="A1501" s="1" t="s">
        <v>715</v>
      </c>
      <c r="B1501">
        <v>12336924</v>
      </c>
      <c r="C1501" s="2" t="s">
        <v>253</v>
      </c>
      <c r="D1501" s="2" t="s">
        <v>234</v>
      </c>
      <c r="E1501" s="4">
        <v>45245</v>
      </c>
    </row>
    <row r="1502" spans="1:5" x14ac:dyDescent="0.25">
      <c r="A1502" s="1" t="str">
        <f>"COPACK SOLUTIONS LTD"</f>
        <v>COPACK SOLUTIONS LTD</v>
      </c>
      <c r="B1502" t="str">
        <f>"13912994"</f>
        <v>13912994</v>
      </c>
      <c r="C1502" s="2" t="s">
        <v>253</v>
      </c>
      <c r="D1502" s="2" t="s">
        <v>234</v>
      </c>
      <c r="E1502" s="4">
        <v>45257</v>
      </c>
    </row>
    <row r="1503" spans="1:5" x14ac:dyDescent="0.25">
      <c r="A1503" s="1" t="str">
        <f>"T &amp; M LEGAL CONSULTING LIMITED"</f>
        <v>T &amp; M LEGAL CONSULTING LIMITED</v>
      </c>
      <c r="B1503" t="str">
        <f>"09075073"</f>
        <v>09075073</v>
      </c>
      <c r="C1503" s="2" t="s">
        <v>355</v>
      </c>
      <c r="D1503" s="2" t="s">
        <v>227</v>
      </c>
      <c r="E1503" s="4">
        <v>45236</v>
      </c>
    </row>
    <row r="1504" spans="1:5" x14ac:dyDescent="0.25">
      <c r="A1504" s="1" t="str">
        <f>"BARKER &amp; DIXON LIMITED"</f>
        <v>BARKER &amp; DIXON LIMITED</v>
      </c>
      <c r="B1504" t="str">
        <f>"10906176"</f>
        <v>10906176</v>
      </c>
      <c r="C1504" s="2" t="s">
        <v>355</v>
      </c>
      <c r="D1504" s="2" t="s">
        <v>227</v>
      </c>
      <c r="E1504" s="4">
        <v>45236</v>
      </c>
    </row>
    <row r="1505" spans="1:5" x14ac:dyDescent="0.25">
      <c r="A1505" s="1" t="str">
        <f>"SQUIRES BARNETT ARCHITECTS LLP"</f>
        <v>SQUIRES BARNETT ARCHITECTS LLP</v>
      </c>
      <c r="B1505" t="str">
        <f>"OC363793"</f>
        <v>OC363793</v>
      </c>
      <c r="C1505" s="2" t="s">
        <v>355</v>
      </c>
      <c r="D1505" s="2" t="s">
        <v>227</v>
      </c>
      <c r="E1505" s="4">
        <v>45244</v>
      </c>
    </row>
    <row r="1506" spans="1:5" x14ac:dyDescent="0.25">
      <c r="A1506" s="1" t="str">
        <f>"TMS MANAGING SERVICES LTD"</f>
        <v>TMS MANAGING SERVICES LTD</v>
      </c>
      <c r="B1506" t="str">
        <f>"07252716"</f>
        <v>07252716</v>
      </c>
      <c r="C1506" s="2" t="s">
        <v>355</v>
      </c>
      <c r="D1506" s="2" t="s">
        <v>227</v>
      </c>
      <c r="E1506" s="4">
        <v>45253</v>
      </c>
    </row>
    <row r="1507" spans="1:5" x14ac:dyDescent="0.25">
      <c r="A1507" s="1" t="str">
        <f>"TUCKWELL LEISURE LIMITED"</f>
        <v>TUCKWELL LEISURE LIMITED</v>
      </c>
      <c r="B1507" t="str">
        <f>"10726726"</f>
        <v>10726726</v>
      </c>
      <c r="C1507" s="2" t="s">
        <v>355</v>
      </c>
      <c r="D1507" s="2" t="s">
        <v>227</v>
      </c>
      <c r="E1507" s="4">
        <v>45257</v>
      </c>
    </row>
    <row r="1508" spans="1:5" x14ac:dyDescent="0.25">
      <c r="A1508" s="1" t="s">
        <v>375</v>
      </c>
      <c r="B1508">
        <v>11023214</v>
      </c>
      <c r="C1508" s="2" t="s">
        <v>116</v>
      </c>
      <c r="D1508" s="2" t="s">
        <v>117</v>
      </c>
      <c r="E1508" s="4">
        <v>45226</v>
      </c>
    </row>
    <row r="1509" spans="1:5" x14ac:dyDescent="0.25">
      <c r="A1509" s="1" t="str">
        <f>"GALLERIA GUITARS LTD"</f>
        <v>GALLERIA GUITARS LTD</v>
      </c>
      <c r="B1509" t="str">
        <f>"12327736"</f>
        <v>12327736</v>
      </c>
      <c r="C1509" s="2" t="s">
        <v>116</v>
      </c>
      <c r="D1509" s="2" t="s">
        <v>117</v>
      </c>
      <c r="E1509" s="4">
        <v>45232</v>
      </c>
    </row>
    <row r="1510" spans="1:5" x14ac:dyDescent="0.25">
      <c r="A1510" s="1" t="str">
        <f>"BESPOKE SOFAS AND INTERIORS LTD"</f>
        <v>BESPOKE SOFAS AND INTERIORS LTD</v>
      </c>
      <c r="B1510" t="str">
        <f>"10733607"</f>
        <v>10733607</v>
      </c>
      <c r="C1510" s="2" t="s">
        <v>116</v>
      </c>
      <c r="D1510" s="2" t="s">
        <v>117</v>
      </c>
      <c r="E1510" s="4">
        <v>45236</v>
      </c>
    </row>
    <row r="1511" spans="1:5" x14ac:dyDescent="0.25">
      <c r="A1511" s="1" t="str">
        <f>"KWS DECORATIONS LTD"</f>
        <v>KWS DECORATIONS LTD</v>
      </c>
      <c r="B1511" t="str">
        <f>"09544544"</f>
        <v>09544544</v>
      </c>
      <c r="C1511" s="2" t="s">
        <v>116</v>
      </c>
      <c r="D1511" s="2" t="s">
        <v>117</v>
      </c>
      <c r="E1511" s="4">
        <v>45237</v>
      </c>
    </row>
    <row r="1512" spans="1:5" x14ac:dyDescent="0.25">
      <c r="A1512" s="1" t="str">
        <f>"THE VIEW HOLDINGS LTD"</f>
        <v>THE VIEW HOLDINGS LTD</v>
      </c>
      <c r="B1512" t="str">
        <f>"12842597"</f>
        <v>12842597</v>
      </c>
      <c r="C1512" s="2" t="s">
        <v>116</v>
      </c>
      <c r="D1512" s="2" t="s">
        <v>117</v>
      </c>
      <c r="E1512" s="4">
        <v>45246</v>
      </c>
    </row>
    <row r="1513" spans="1:5" x14ac:dyDescent="0.25">
      <c r="A1513" s="1" t="s">
        <v>430</v>
      </c>
      <c r="B1513">
        <v>8680282</v>
      </c>
      <c r="C1513" s="2" t="s">
        <v>212</v>
      </c>
      <c r="D1513" s="2" t="s">
        <v>213</v>
      </c>
      <c r="E1513" s="4">
        <v>45230</v>
      </c>
    </row>
    <row r="1514" spans="1:5" x14ac:dyDescent="0.25">
      <c r="A1514" s="1" t="s">
        <v>497</v>
      </c>
      <c r="B1514">
        <v>5926276</v>
      </c>
      <c r="C1514" s="2" t="s">
        <v>212</v>
      </c>
      <c r="D1514" s="2" t="s">
        <v>213</v>
      </c>
      <c r="E1514" s="4">
        <v>45231</v>
      </c>
    </row>
    <row r="1515" spans="1:5" x14ac:dyDescent="0.25">
      <c r="A1515" s="1" t="str">
        <f>"THE CHILLIN' DOG LTD"</f>
        <v>THE CHILLIN' DOG LTD</v>
      </c>
      <c r="B1515" t="str">
        <f>"11928059"</f>
        <v>11928059</v>
      </c>
      <c r="C1515" s="2" t="s">
        <v>212</v>
      </c>
      <c r="D1515" s="2" t="s">
        <v>213</v>
      </c>
      <c r="E1515" s="4">
        <v>45231</v>
      </c>
    </row>
    <row r="1516" spans="1:5" x14ac:dyDescent="0.25">
      <c r="A1516" s="1" t="str">
        <f>"CALABASH BUSINESS CORPORATION LTD"</f>
        <v>CALABASH BUSINESS CORPORATION LTD</v>
      </c>
      <c r="B1516" t="str">
        <f>"10515618"</f>
        <v>10515618</v>
      </c>
      <c r="C1516" s="2" t="s">
        <v>212</v>
      </c>
      <c r="D1516" s="2" t="s">
        <v>213</v>
      </c>
      <c r="E1516" s="4">
        <v>45232</v>
      </c>
    </row>
    <row r="1517" spans="1:5" x14ac:dyDescent="0.25">
      <c r="A1517" s="1" t="str">
        <f>"DISCERNING DIGITAL LIMITED"</f>
        <v>DISCERNING DIGITAL LIMITED</v>
      </c>
      <c r="B1517" t="str">
        <f>"08245157"</f>
        <v>08245157</v>
      </c>
      <c r="C1517" s="2" t="s">
        <v>212</v>
      </c>
      <c r="D1517" s="2" t="s">
        <v>213</v>
      </c>
      <c r="E1517" s="4">
        <v>45233</v>
      </c>
    </row>
    <row r="1518" spans="1:5" x14ac:dyDescent="0.25">
      <c r="A1518" s="1" t="str">
        <f>"BSPOKE LOFTS LIMITED"</f>
        <v>BSPOKE LOFTS LIMITED</v>
      </c>
      <c r="B1518" t="str">
        <f>"12013880"</f>
        <v>12013880</v>
      </c>
      <c r="C1518" s="2" t="s">
        <v>212</v>
      </c>
      <c r="D1518" s="2" t="s">
        <v>213</v>
      </c>
      <c r="E1518" s="4">
        <v>45236</v>
      </c>
    </row>
    <row r="1519" spans="1:5" x14ac:dyDescent="0.25">
      <c r="A1519" s="1" t="str">
        <f>"GMAX CONTRACTS LTD"</f>
        <v>GMAX CONTRACTS LTD</v>
      </c>
      <c r="B1519" t="str">
        <f>"11701672"</f>
        <v>11701672</v>
      </c>
      <c r="C1519" s="2" t="s">
        <v>212</v>
      </c>
      <c r="D1519" s="2" t="s">
        <v>213</v>
      </c>
      <c r="E1519" s="4">
        <v>45237</v>
      </c>
    </row>
    <row r="1520" spans="1:5" x14ac:dyDescent="0.25">
      <c r="A1520" s="1" t="str">
        <f>"RETAIL ENTERPRISES LTD"</f>
        <v>RETAIL ENTERPRISES LTD</v>
      </c>
      <c r="B1520" t="str">
        <f>"12101404"</f>
        <v>12101404</v>
      </c>
      <c r="C1520" s="2" t="s">
        <v>212</v>
      </c>
      <c r="D1520" s="2" t="s">
        <v>213</v>
      </c>
      <c r="E1520" s="4">
        <v>45237</v>
      </c>
    </row>
    <row r="1521" spans="1:5" x14ac:dyDescent="0.25">
      <c r="A1521" s="1" t="str">
        <f>"DRY LINING PORTSMOUTH LTD"</f>
        <v>DRY LINING PORTSMOUTH LTD</v>
      </c>
      <c r="B1521" t="str">
        <f>"09956542"</f>
        <v>09956542</v>
      </c>
      <c r="C1521" s="2" t="s">
        <v>212</v>
      </c>
      <c r="D1521" s="2" t="s">
        <v>213</v>
      </c>
      <c r="E1521" s="4">
        <v>45237</v>
      </c>
    </row>
    <row r="1522" spans="1:5" x14ac:dyDescent="0.25">
      <c r="A1522" s="1" t="str">
        <f>"DAVI PETERBOROUGH LIMITED"</f>
        <v>DAVI PETERBOROUGH LIMITED</v>
      </c>
      <c r="B1522" t="str">
        <f>"12076171"</f>
        <v>12076171</v>
      </c>
      <c r="C1522" s="2" t="s">
        <v>212</v>
      </c>
      <c r="D1522" s="2" t="s">
        <v>213</v>
      </c>
      <c r="E1522" s="4">
        <v>45238</v>
      </c>
    </row>
    <row r="1523" spans="1:5" x14ac:dyDescent="0.25">
      <c r="A1523" s="1" t="str">
        <f>"SMILTE RESTAURANT (HARLOW) LTD"</f>
        <v>SMILTE RESTAURANT (HARLOW) LTD</v>
      </c>
      <c r="B1523" t="str">
        <f>"13360933"</f>
        <v>13360933</v>
      </c>
      <c r="C1523" s="2" t="s">
        <v>212</v>
      </c>
      <c r="D1523" s="2" t="s">
        <v>213</v>
      </c>
      <c r="E1523" s="4">
        <v>45238</v>
      </c>
    </row>
    <row r="1524" spans="1:5" x14ac:dyDescent="0.25">
      <c r="A1524" s="1" t="str">
        <f>"SMILTE RESTAURANT LIMITED"</f>
        <v>SMILTE RESTAURANT LIMITED</v>
      </c>
      <c r="B1524" t="str">
        <f>"06092411"</f>
        <v>06092411</v>
      </c>
      <c r="C1524" s="2" t="s">
        <v>212</v>
      </c>
      <c r="D1524" s="2" t="s">
        <v>213</v>
      </c>
      <c r="E1524" s="4">
        <v>45238</v>
      </c>
    </row>
    <row r="1525" spans="1:5" x14ac:dyDescent="0.25">
      <c r="A1525" s="1" t="str">
        <f>"J S JOINERY AND BUILDING LTD"</f>
        <v>J S JOINERY AND BUILDING LTD</v>
      </c>
      <c r="B1525" t="str">
        <f>"12759687"</f>
        <v>12759687</v>
      </c>
      <c r="C1525" s="2" t="s">
        <v>212</v>
      </c>
      <c r="D1525" s="2" t="s">
        <v>213</v>
      </c>
      <c r="E1525" s="4">
        <v>45238</v>
      </c>
    </row>
    <row r="1526" spans="1:5" x14ac:dyDescent="0.25">
      <c r="A1526" s="1" t="str">
        <f>"V-APE INTERNATIONAL LTD"</f>
        <v>V-APE INTERNATIONAL LTD</v>
      </c>
      <c r="B1526" t="str">
        <f>"11390787"</f>
        <v>11390787</v>
      </c>
      <c r="C1526" s="2" t="s">
        <v>212</v>
      </c>
      <c r="D1526" s="2" t="s">
        <v>213</v>
      </c>
      <c r="E1526" s="4">
        <v>45240</v>
      </c>
    </row>
    <row r="1527" spans="1:5" x14ac:dyDescent="0.25">
      <c r="A1527" s="1" t="str">
        <f>"A J BUILDING &amp; ROOFING SUPPLIES LIMITED"</f>
        <v>A J BUILDING &amp; ROOFING SUPPLIES LIMITED</v>
      </c>
      <c r="B1527" t="str">
        <f>"09875664"</f>
        <v>09875664</v>
      </c>
      <c r="C1527" s="2" t="s">
        <v>212</v>
      </c>
      <c r="D1527" s="2" t="s">
        <v>213</v>
      </c>
      <c r="E1527" s="4">
        <v>45240</v>
      </c>
    </row>
    <row r="1528" spans="1:5" x14ac:dyDescent="0.25">
      <c r="A1528" s="1" t="str">
        <f>"INFLATE &amp; PLAY LTD"</f>
        <v>INFLATE &amp; PLAY LTD</v>
      </c>
      <c r="B1528" t="str">
        <f>"12386104"</f>
        <v>12386104</v>
      </c>
      <c r="C1528" s="2" t="s">
        <v>212</v>
      </c>
      <c r="D1528" s="2" t="s">
        <v>213</v>
      </c>
      <c r="E1528" s="4">
        <v>45243</v>
      </c>
    </row>
    <row r="1529" spans="1:5" x14ac:dyDescent="0.25">
      <c r="A1529" s="1" t="str">
        <f>"NATKAY LTD"</f>
        <v>NATKAY LTD</v>
      </c>
      <c r="B1529" t="str">
        <f>"09110622"</f>
        <v>09110622</v>
      </c>
      <c r="C1529" s="2" t="s">
        <v>212</v>
      </c>
      <c r="D1529" s="2" t="s">
        <v>213</v>
      </c>
      <c r="E1529" s="4">
        <v>45245</v>
      </c>
    </row>
    <row r="1530" spans="1:5" x14ac:dyDescent="0.25">
      <c r="A1530" s="1" t="str">
        <f>"CRSTEPS LTD"</f>
        <v>CRSTEPS LTD</v>
      </c>
      <c r="B1530" t="str">
        <f>"08823001"</f>
        <v>08823001</v>
      </c>
      <c r="C1530" s="2" t="s">
        <v>212</v>
      </c>
      <c r="D1530" s="2" t="s">
        <v>213</v>
      </c>
      <c r="E1530" s="4">
        <v>45246</v>
      </c>
    </row>
    <row r="1531" spans="1:5" x14ac:dyDescent="0.25">
      <c r="A1531" s="1" t="str">
        <f>"R S PERFORMANCE PAINTWORK LTD"</f>
        <v>R S PERFORMANCE PAINTWORK LTD</v>
      </c>
      <c r="B1531" t="str">
        <f>"11176494"</f>
        <v>11176494</v>
      </c>
      <c r="C1531" s="2" t="s">
        <v>212</v>
      </c>
      <c r="D1531" s="2" t="s">
        <v>213</v>
      </c>
      <c r="E1531" s="4">
        <v>45247</v>
      </c>
    </row>
    <row r="1532" spans="1:5" x14ac:dyDescent="0.25">
      <c r="A1532" s="1" t="str">
        <f>"SK SEARCH LIMITED"</f>
        <v>SK SEARCH LIMITED</v>
      </c>
      <c r="B1532" t="str">
        <f>"06346596"</f>
        <v>06346596</v>
      </c>
      <c r="C1532" s="2" t="s">
        <v>212</v>
      </c>
      <c r="D1532" s="2" t="s">
        <v>213</v>
      </c>
      <c r="E1532" s="4">
        <v>45250</v>
      </c>
    </row>
    <row r="1533" spans="1:5" x14ac:dyDescent="0.25">
      <c r="A1533" s="1" t="str">
        <f>"CORNUBIAGLOBAL LIMITED"</f>
        <v>CORNUBIAGLOBAL LIMITED</v>
      </c>
      <c r="B1533" t="str">
        <f>"09022918"</f>
        <v>09022918</v>
      </c>
      <c r="C1533" s="2" t="s">
        <v>212</v>
      </c>
      <c r="D1533" s="2" t="s">
        <v>213</v>
      </c>
      <c r="E1533" s="4">
        <v>45251</v>
      </c>
    </row>
    <row r="1534" spans="1:5" x14ac:dyDescent="0.25">
      <c r="A1534" s="1" t="s">
        <v>759</v>
      </c>
      <c r="B1534" t="s">
        <v>760</v>
      </c>
      <c r="C1534" s="2" t="s">
        <v>212</v>
      </c>
      <c r="D1534" s="2" t="s">
        <v>213</v>
      </c>
      <c r="E1534" s="4">
        <v>45252</v>
      </c>
    </row>
    <row r="1535" spans="1:5" x14ac:dyDescent="0.25">
      <c r="A1535" s="1" t="str">
        <f>"LAB3L LTD"</f>
        <v>LAB3L LTD</v>
      </c>
      <c r="B1535" t="str">
        <f>"11450660"</f>
        <v>11450660</v>
      </c>
      <c r="C1535" s="2" t="s">
        <v>212</v>
      </c>
      <c r="D1535" s="2" t="s">
        <v>213</v>
      </c>
      <c r="E1535" s="4">
        <v>45254</v>
      </c>
    </row>
    <row r="1536" spans="1:5" x14ac:dyDescent="0.25">
      <c r="A1536" s="1" t="str">
        <f>"LYONS PERSONNEL LTD"</f>
        <v>LYONS PERSONNEL LTD</v>
      </c>
      <c r="B1536" t="str">
        <f>"10696472"</f>
        <v>10696472</v>
      </c>
      <c r="C1536" s="2" t="s">
        <v>587</v>
      </c>
      <c r="D1536" s="2" t="s">
        <v>7</v>
      </c>
      <c r="E1536" s="4">
        <v>45218</v>
      </c>
    </row>
    <row r="1537" spans="1:5" x14ac:dyDescent="0.25">
      <c r="A1537" s="1" t="str">
        <f>"GH INT REALISATIONS 2022 LIMITED"</f>
        <v>GH INT REALISATIONS 2022 LIMITED</v>
      </c>
      <c r="B1537" t="str">
        <f>"01800278"</f>
        <v>01800278</v>
      </c>
      <c r="C1537" s="2" t="s">
        <v>587</v>
      </c>
      <c r="D1537" s="2" t="s">
        <v>7</v>
      </c>
      <c r="E1537" s="4">
        <v>45239</v>
      </c>
    </row>
    <row r="1538" spans="1:5" x14ac:dyDescent="0.25">
      <c r="A1538" s="1" t="str">
        <f>"EDGEMERE PROJECTS LIMITED"</f>
        <v>EDGEMERE PROJECTS LIMITED</v>
      </c>
      <c r="B1538" t="str">
        <f>"03605635"</f>
        <v>03605635</v>
      </c>
      <c r="C1538" s="2" t="s">
        <v>267</v>
      </c>
      <c r="D1538" s="2" t="s">
        <v>26</v>
      </c>
      <c r="E1538" s="4">
        <v>45229</v>
      </c>
    </row>
    <row r="1539" spans="1:5" x14ac:dyDescent="0.25">
      <c r="A1539" s="1" t="str">
        <f>"COST TO BUILD LIMITED"</f>
        <v>COST TO BUILD LIMITED</v>
      </c>
      <c r="B1539" t="str">
        <f>"10075940"</f>
        <v>10075940</v>
      </c>
      <c r="C1539" s="2" t="s">
        <v>267</v>
      </c>
      <c r="D1539" s="2" t="s">
        <v>26</v>
      </c>
      <c r="E1539" s="4">
        <v>45230</v>
      </c>
    </row>
    <row r="1540" spans="1:5" x14ac:dyDescent="0.25">
      <c r="A1540" s="1" t="str">
        <f>"RIPPLL LIMITED"</f>
        <v>RIPPLL LIMITED</v>
      </c>
      <c r="B1540" t="str">
        <f>"06585182"</f>
        <v>06585182</v>
      </c>
      <c r="C1540" s="2" t="s">
        <v>267</v>
      </c>
      <c r="D1540" s="2" t="s">
        <v>26</v>
      </c>
      <c r="E1540" s="4">
        <v>45246</v>
      </c>
    </row>
    <row r="1541" spans="1:5" x14ac:dyDescent="0.25">
      <c r="A1541" s="1" t="str">
        <f>"GET MY SLICE FOUNDERS CLUB LTD"</f>
        <v>GET MY SLICE FOUNDERS CLUB LTD</v>
      </c>
      <c r="B1541" t="str">
        <f>"12335723"</f>
        <v>12335723</v>
      </c>
      <c r="C1541" s="2" t="s">
        <v>178</v>
      </c>
      <c r="D1541" s="2" t="s">
        <v>26</v>
      </c>
      <c r="E1541" s="4">
        <v>45252</v>
      </c>
    </row>
    <row r="1542" spans="1:5" x14ac:dyDescent="0.25">
      <c r="A1542" s="1" t="str">
        <f>"TANG INTERIORS LIMITED"</f>
        <v>TANG INTERIORS LIMITED</v>
      </c>
      <c r="B1542" t="str">
        <f>"10999081"</f>
        <v>10999081</v>
      </c>
      <c r="C1542" s="2" t="s">
        <v>804</v>
      </c>
      <c r="D1542" s="2" t="s">
        <v>805</v>
      </c>
      <c r="E1542" s="4">
        <v>45250</v>
      </c>
    </row>
    <row r="1543" spans="1:5" x14ac:dyDescent="0.25">
      <c r="A1543" s="1" t="s">
        <v>806</v>
      </c>
      <c r="B1543">
        <v>8785941</v>
      </c>
      <c r="C1543" s="2" t="s">
        <v>804</v>
      </c>
      <c r="D1543" s="2" t="s">
        <v>805</v>
      </c>
      <c r="E1543" s="4">
        <v>45251</v>
      </c>
    </row>
    <row r="1544" spans="1:5" x14ac:dyDescent="0.25">
      <c r="A1544" s="1" t="str">
        <f>"COLMORE TANG PROJECTS LIMITED"</f>
        <v>COLMORE TANG PROJECTS LIMITED</v>
      </c>
      <c r="B1544" t="str">
        <f>"12673393"</f>
        <v>12673393</v>
      </c>
      <c r="C1544" s="2" t="s">
        <v>804</v>
      </c>
      <c r="D1544" s="2" t="s">
        <v>805</v>
      </c>
      <c r="E1544" s="4">
        <v>45252</v>
      </c>
    </row>
    <row r="1545" spans="1:5" x14ac:dyDescent="0.25">
      <c r="A1545" s="1" t="str">
        <f>"PLUSH TENTS LIMITED"</f>
        <v>PLUSH TENTS LIMITED</v>
      </c>
      <c r="B1545" t="str">
        <f>"08864378"</f>
        <v>08864378</v>
      </c>
      <c r="C1545" s="2" t="s">
        <v>219</v>
      </c>
      <c r="D1545" s="2" t="s">
        <v>357</v>
      </c>
      <c r="E1545" s="4">
        <v>45239</v>
      </c>
    </row>
    <row r="1546" spans="1:5" x14ac:dyDescent="0.25">
      <c r="A1546" s="1" t="str">
        <f>"PLUSH ADDICT LIMITED"</f>
        <v>PLUSH ADDICT LIMITED</v>
      </c>
      <c r="B1546" t="str">
        <f>"08063048"</f>
        <v>08063048</v>
      </c>
      <c r="C1546" s="2" t="s">
        <v>219</v>
      </c>
      <c r="D1546" s="2" t="s">
        <v>592</v>
      </c>
      <c r="E1546" s="4">
        <v>45232</v>
      </c>
    </row>
    <row r="1547" spans="1:5" x14ac:dyDescent="0.25">
      <c r="A1547" s="1" t="s">
        <v>577</v>
      </c>
      <c r="B1547">
        <v>1034380</v>
      </c>
      <c r="C1547" s="2" t="s">
        <v>219</v>
      </c>
      <c r="D1547" s="2" t="s">
        <v>71</v>
      </c>
      <c r="E1547" s="4">
        <v>45225</v>
      </c>
    </row>
    <row r="1548" spans="1:5" x14ac:dyDescent="0.25">
      <c r="A1548" s="1" t="s">
        <v>853</v>
      </c>
      <c r="B1548">
        <v>10236615</v>
      </c>
      <c r="C1548" s="2" t="s">
        <v>219</v>
      </c>
      <c r="D1548" s="2" t="s">
        <v>7</v>
      </c>
      <c r="E1548" s="4">
        <v>45251</v>
      </c>
    </row>
    <row r="1549" spans="1:5" x14ac:dyDescent="0.25">
      <c r="A1549" s="1" t="str">
        <f>"LIVERPOOL CARES LIMITED"</f>
        <v>LIVERPOOL CARES LIMITED</v>
      </c>
      <c r="B1549" t="str">
        <f>"11166325"</f>
        <v>11166325</v>
      </c>
      <c r="C1549" s="2" t="s">
        <v>219</v>
      </c>
      <c r="D1549" s="2" t="s">
        <v>7</v>
      </c>
      <c r="E1549" s="4">
        <v>45251</v>
      </c>
    </row>
    <row r="1550" spans="1:5" x14ac:dyDescent="0.25">
      <c r="A1550" s="1" t="str">
        <f>"MCR CARES LIMITED"</f>
        <v>MCR CARES LIMITED</v>
      </c>
      <c r="B1550" t="str">
        <f>"10893107"</f>
        <v>10893107</v>
      </c>
      <c r="C1550" s="2" t="s">
        <v>219</v>
      </c>
      <c r="D1550" s="2" t="s">
        <v>7</v>
      </c>
      <c r="E1550" s="4">
        <v>45251</v>
      </c>
    </row>
    <row r="1551" spans="1:5" x14ac:dyDescent="0.25">
      <c r="A1551" s="1" t="str">
        <f>"NL CARES LIMITED"</f>
        <v>NL CARES LIMITED</v>
      </c>
      <c r="B1551" t="str">
        <f>"07737818"</f>
        <v>07737818</v>
      </c>
      <c r="C1551" s="2" t="s">
        <v>219</v>
      </c>
      <c r="D1551" s="2" t="s">
        <v>7</v>
      </c>
      <c r="E1551" s="4">
        <v>45251</v>
      </c>
    </row>
    <row r="1552" spans="1:5" x14ac:dyDescent="0.25">
      <c r="A1552" s="1" t="str">
        <f>"SOUTH LONDON CARES LIMITED"</f>
        <v>SOUTH LONDON CARES LIMITED</v>
      </c>
      <c r="B1552" t="str">
        <f>"08757344"</f>
        <v>08757344</v>
      </c>
      <c r="C1552" s="2" t="s">
        <v>219</v>
      </c>
      <c r="D1552" s="2" t="s">
        <v>7</v>
      </c>
      <c r="E1552" s="4">
        <v>45251</v>
      </c>
    </row>
    <row r="1553" spans="1:5" x14ac:dyDescent="0.25">
      <c r="A1553" s="1" t="str">
        <f>"EAST LONDON CARES LIMITED"</f>
        <v>EAST LONDON CARES LIMITED</v>
      </c>
      <c r="B1553" t="str">
        <f>"11809555"</f>
        <v>11809555</v>
      </c>
      <c r="C1553" s="2" t="s">
        <v>219</v>
      </c>
      <c r="D1553" s="2" t="s">
        <v>7</v>
      </c>
      <c r="E1553" s="4">
        <v>45251</v>
      </c>
    </row>
    <row r="1554" spans="1:5" x14ac:dyDescent="0.25">
      <c r="A1554" s="1" t="s">
        <v>432</v>
      </c>
      <c r="B1554">
        <v>10390203</v>
      </c>
      <c r="C1554" s="2" t="s">
        <v>219</v>
      </c>
      <c r="D1554" s="2" t="s">
        <v>26</v>
      </c>
      <c r="E1554" s="4">
        <v>45224</v>
      </c>
    </row>
    <row r="1555" spans="1:5" x14ac:dyDescent="0.25">
      <c r="A1555" s="1" t="str">
        <f>"CONTRACT JOINERY (NW) LTD"</f>
        <v>CONTRACT JOINERY (NW) LTD</v>
      </c>
      <c r="B1555" t="str">
        <f>"11266827"</f>
        <v>11266827</v>
      </c>
      <c r="C1555" s="2" t="s">
        <v>219</v>
      </c>
      <c r="D1555" s="2" t="s">
        <v>26</v>
      </c>
      <c r="E1555" s="4">
        <v>45253</v>
      </c>
    </row>
    <row r="1556" spans="1:5" x14ac:dyDescent="0.25">
      <c r="A1556" s="1" t="str">
        <f>"MASTER-PLAN SYSTEMS LIMITED"</f>
        <v>MASTER-PLAN SYSTEMS LIMITED</v>
      </c>
      <c r="B1556" t="str">
        <f>"04976028"</f>
        <v>04976028</v>
      </c>
      <c r="C1556" s="2" t="s">
        <v>14</v>
      </c>
      <c r="D1556" s="2" t="s">
        <v>15</v>
      </c>
      <c r="E1556" s="4">
        <v>45232</v>
      </c>
    </row>
    <row r="1557" spans="1:5" x14ac:dyDescent="0.25">
      <c r="A1557" s="1" t="str">
        <f>"THE SUN HALIFAX LIMITED"</f>
        <v>THE SUN HALIFAX LIMITED</v>
      </c>
      <c r="B1557" t="str">
        <f>"14319021"</f>
        <v>14319021</v>
      </c>
      <c r="C1557" s="2" t="s">
        <v>14</v>
      </c>
      <c r="D1557" s="2" t="s">
        <v>15</v>
      </c>
      <c r="E1557" s="4">
        <v>45236</v>
      </c>
    </row>
    <row r="1558" spans="1:5" x14ac:dyDescent="0.25">
      <c r="A1558" s="1" t="str">
        <f>"THE DINER LIMITED"</f>
        <v>THE DINER LIMITED</v>
      </c>
      <c r="B1558" t="str">
        <f>"06315404"</f>
        <v>06315404</v>
      </c>
      <c r="C1558" s="2" t="s">
        <v>14</v>
      </c>
      <c r="D1558" s="2" t="s">
        <v>15</v>
      </c>
      <c r="E1558" s="4">
        <v>45239</v>
      </c>
    </row>
    <row r="1559" spans="1:5" x14ac:dyDescent="0.25">
      <c r="A1559" s="1" t="str">
        <f>"THE BEAUTY SHED LTD"</f>
        <v>THE BEAUTY SHED LTD</v>
      </c>
      <c r="B1559" t="str">
        <f>"04495202"</f>
        <v>04495202</v>
      </c>
      <c r="C1559" s="2" t="s">
        <v>14</v>
      </c>
      <c r="D1559" s="2" t="s">
        <v>15</v>
      </c>
      <c r="E1559" s="4">
        <v>45252</v>
      </c>
    </row>
    <row r="1560" spans="1:5" x14ac:dyDescent="0.25">
      <c r="A1560" s="1" t="str">
        <f>"ANDREW DRIVER GOLF LTD"</f>
        <v>ANDREW DRIVER GOLF LTD</v>
      </c>
      <c r="B1560" t="str">
        <f>"09487331"</f>
        <v>09487331</v>
      </c>
      <c r="C1560" s="2" t="s">
        <v>14</v>
      </c>
      <c r="D1560" s="2" t="s">
        <v>15</v>
      </c>
      <c r="E1560" s="4">
        <v>45254</v>
      </c>
    </row>
    <row r="1561" spans="1:5" x14ac:dyDescent="0.25">
      <c r="A1561" s="1" t="str">
        <f>"MICHAEL PETERS LIMITED"</f>
        <v>MICHAEL PETERS LIMITED</v>
      </c>
      <c r="B1561" t="str">
        <f>"12147552"</f>
        <v>12147552</v>
      </c>
      <c r="C1561" s="2" t="s">
        <v>44</v>
      </c>
      <c r="D1561" s="2" t="s">
        <v>45</v>
      </c>
      <c r="E1561" s="4">
        <v>45251</v>
      </c>
    </row>
    <row r="1562" spans="1:5" x14ac:dyDescent="0.25">
      <c r="A1562" s="1" t="s">
        <v>557</v>
      </c>
      <c r="B1562">
        <v>11010461</v>
      </c>
      <c r="C1562" s="2" t="s">
        <v>222</v>
      </c>
      <c r="D1562" s="2" t="s">
        <v>11</v>
      </c>
      <c r="E1562" s="4">
        <v>45230</v>
      </c>
    </row>
    <row r="1563" spans="1:5" x14ac:dyDescent="0.25">
      <c r="A1563" s="1" t="str">
        <f>"THE GREEN MOOSE RESTAURANT LIMITED"</f>
        <v>THE GREEN MOOSE RESTAURANT LIMITED</v>
      </c>
      <c r="B1563" t="str">
        <f>"09023301"</f>
        <v>09023301</v>
      </c>
      <c r="C1563" s="2" t="s">
        <v>222</v>
      </c>
      <c r="D1563" s="2" t="s">
        <v>11</v>
      </c>
      <c r="E1563" s="4">
        <v>45231</v>
      </c>
    </row>
    <row r="1564" spans="1:5" x14ac:dyDescent="0.25">
      <c r="A1564" s="1" t="s">
        <v>778</v>
      </c>
      <c r="B1564">
        <v>10155844</v>
      </c>
      <c r="C1564" s="2" t="s">
        <v>222</v>
      </c>
      <c r="D1564" s="2" t="s">
        <v>11</v>
      </c>
      <c r="E1564" s="4">
        <v>45250</v>
      </c>
    </row>
    <row r="1565" spans="1:5" x14ac:dyDescent="0.25">
      <c r="A1565" s="1" t="s">
        <v>714</v>
      </c>
      <c r="B1565">
        <v>13371796</v>
      </c>
      <c r="C1565" s="2" t="s">
        <v>222</v>
      </c>
      <c r="D1565" s="2" t="s">
        <v>11</v>
      </c>
      <c r="E1565" s="4">
        <v>45250</v>
      </c>
    </row>
    <row r="1566" spans="1:5" x14ac:dyDescent="0.25">
      <c r="A1566" s="1" t="str">
        <f>"YLENE LIMITED"</f>
        <v>YLENE LIMITED</v>
      </c>
      <c r="B1566" t="str">
        <f>"13675544"</f>
        <v>13675544</v>
      </c>
      <c r="C1566" s="2" t="s">
        <v>222</v>
      </c>
      <c r="D1566" s="2" t="s">
        <v>11</v>
      </c>
      <c r="E1566" s="4">
        <v>45252</v>
      </c>
    </row>
    <row r="1567" spans="1:5" x14ac:dyDescent="0.25">
      <c r="A1567" s="1" t="str">
        <f>"CHINA GARDEN (BEXHILL) LIMITED"</f>
        <v>CHINA GARDEN (BEXHILL) LIMITED</v>
      </c>
      <c r="B1567" t="str">
        <f>"10738775"</f>
        <v>10738775</v>
      </c>
      <c r="C1567" s="2" t="s">
        <v>222</v>
      </c>
      <c r="D1567" s="2" t="s">
        <v>11</v>
      </c>
      <c r="E1567" s="4">
        <v>45252</v>
      </c>
    </row>
    <row r="1568" spans="1:5" x14ac:dyDescent="0.25">
      <c r="A1568" s="1" t="s">
        <v>826</v>
      </c>
      <c r="B1568">
        <v>7286082</v>
      </c>
      <c r="C1568" s="2" t="s">
        <v>185</v>
      </c>
      <c r="D1568" s="2" t="s">
        <v>186</v>
      </c>
      <c r="E1568" s="4">
        <v>45245</v>
      </c>
    </row>
    <row r="1569" spans="1:5" x14ac:dyDescent="0.25">
      <c r="A1569" s="1" t="s">
        <v>630</v>
      </c>
      <c r="B1569">
        <v>9219847</v>
      </c>
      <c r="C1569" s="2" t="s">
        <v>185</v>
      </c>
      <c r="D1569" s="2" t="s">
        <v>186</v>
      </c>
      <c r="E1569" s="4">
        <v>45246</v>
      </c>
    </row>
    <row r="1570" spans="1:5" x14ac:dyDescent="0.25">
      <c r="A1570" s="1" t="s">
        <v>761</v>
      </c>
      <c r="B1570" t="s">
        <v>762</v>
      </c>
      <c r="C1570" s="2" t="s">
        <v>185</v>
      </c>
      <c r="D1570" s="2" t="s">
        <v>186</v>
      </c>
      <c r="E1570" s="4">
        <v>45250</v>
      </c>
    </row>
    <row r="1571" spans="1:5" x14ac:dyDescent="0.25">
      <c r="A1571" s="1" t="str">
        <f>"COMCENSUS LTD."</f>
        <v>COMCENSUS LTD.</v>
      </c>
      <c r="B1571" t="str">
        <f>"03777732"</f>
        <v>03777732</v>
      </c>
      <c r="C1571" s="2" t="s">
        <v>858</v>
      </c>
      <c r="D1571" s="2" t="s">
        <v>7</v>
      </c>
      <c r="E1571" s="4">
        <v>45252</v>
      </c>
    </row>
    <row r="1572" spans="1:5" x14ac:dyDescent="0.25">
      <c r="A1572" s="1" t="s">
        <v>416</v>
      </c>
      <c r="B1572">
        <v>11045338</v>
      </c>
      <c r="C1572" s="2" t="s">
        <v>35</v>
      </c>
      <c r="D1572" s="2" t="s">
        <v>7</v>
      </c>
      <c r="E1572" s="4">
        <v>45225</v>
      </c>
    </row>
    <row r="1573" spans="1:5" x14ac:dyDescent="0.25">
      <c r="A1573" s="1" t="s">
        <v>405</v>
      </c>
      <c r="B1573">
        <v>10364407</v>
      </c>
      <c r="C1573" s="2" t="s">
        <v>35</v>
      </c>
      <c r="D1573" s="2" t="s">
        <v>7</v>
      </c>
      <c r="E1573" s="4">
        <v>45226</v>
      </c>
    </row>
    <row r="1574" spans="1:5" x14ac:dyDescent="0.25">
      <c r="A1574" s="1" t="str">
        <f>"DIAL123 LIMITED"</f>
        <v>DIAL123 LIMITED</v>
      </c>
      <c r="B1574" t="str">
        <f>"08456174"</f>
        <v>08456174</v>
      </c>
      <c r="C1574" s="2" t="s">
        <v>35</v>
      </c>
      <c r="D1574" s="2" t="s">
        <v>7</v>
      </c>
      <c r="E1574" s="4">
        <v>45226</v>
      </c>
    </row>
    <row r="1575" spans="1:5" x14ac:dyDescent="0.25">
      <c r="A1575" s="1" t="s">
        <v>467</v>
      </c>
      <c r="B1575">
        <v>9843622</v>
      </c>
      <c r="C1575" s="2" t="s">
        <v>35</v>
      </c>
      <c r="D1575" s="2" t="s">
        <v>7</v>
      </c>
      <c r="E1575" s="4">
        <v>45229</v>
      </c>
    </row>
    <row r="1576" spans="1:5" x14ac:dyDescent="0.25">
      <c r="A1576" s="1" t="s">
        <v>468</v>
      </c>
      <c r="B1576">
        <v>11694608</v>
      </c>
      <c r="C1576" s="2" t="s">
        <v>35</v>
      </c>
      <c r="D1576" s="2" t="s">
        <v>7</v>
      </c>
      <c r="E1576" s="4">
        <v>45229</v>
      </c>
    </row>
    <row r="1577" spans="1:5" x14ac:dyDescent="0.25">
      <c r="A1577" s="1" t="str">
        <f>"DEVINE HAIRDRESSING LTD"</f>
        <v>DEVINE HAIRDRESSING LTD</v>
      </c>
      <c r="B1577" t="str">
        <f>"10682102"</f>
        <v>10682102</v>
      </c>
      <c r="C1577" s="2" t="s">
        <v>35</v>
      </c>
      <c r="D1577" s="2" t="s">
        <v>7</v>
      </c>
      <c r="E1577" s="4">
        <v>45229</v>
      </c>
    </row>
    <row r="1578" spans="1:5" x14ac:dyDescent="0.25">
      <c r="A1578" s="1" t="str">
        <f>"K &amp; B ROOFING CONTRACTORS LIMITED"</f>
        <v>K &amp; B ROOFING CONTRACTORS LIMITED</v>
      </c>
      <c r="B1578" t="str">
        <f>"03024285"</f>
        <v>03024285</v>
      </c>
      <c r="C1578" s="2" t="s">
        <v>35</v>
      </c>
      <c r="D1578" s="2" t="s">
        <v>7</v>
      </c>
      <c r="E1578" s="4">
        <v>45229</v>
      </c>
    </row>
    <row r="1579" spans="1:5" x14ac:dyDescent="0.25">
      <c r="A1579" s="1" t="str">
        <f>"TARLETON FONES AND COMPUTING LTD"</f>
        <v>TARLETON FONES AND COMPUTING LTD</v>
      </c>
      <c r="B1579" t="str">
        <f>"11603935"</f>
        <v>11603935</v>
      </c>
      <c r="C1579" s="2" t="s">
        <v>35</v>
      </c>
      <c r="D1579" s="2" t="s">
        <v>7</v>
      </c>
      <c r="E1579" s="4">
        <v>45229</v>
      </c>
    </row>
    <row r="1580" spans="1:5" x14ac:dyDescent="0.25">
      <c r="A1580" s="1" t="str">
        <f>"CPOTENTIAL TRADING LIMITED"</f>
        <v>CPOTENTIAL TRADING LIMITED</v>
      </c>
      <c r="B1580" t="str">
        <f>"05544962"</f>
        <v>05544962</v>
      </c>
      <c r="C1580" s="2" t="s">
        <v>35</v>
      </c>
      <c r="D1580" s="2" t="s">
        <v>7</v>
      </c>
      <c r="E1580" s="4">
        <v>45230</v>
      </c>
    </row>
    <row r="1581" spans="1:5" x14ac:dyDescent="0.25">
      <c r="A1581" s="1" t="str">
        <f>"MORRIS MAINTENANCE PLUMBING &amp; HEATING LTD"</f>
        <v>MORRIS MAINTENANCE PLUMBING &amp; HEATING LTD</v>
      </c>
      <c r="B1581" t="str">
        <f>"11503098"</f>
        <v>11503098</v>
      </c>
      <c r="C1581" s="2" t="s">
        <v>35</v>
      </c>
      <c r="D1581" s="2" t="s">
        <v>7</v>
      </c>
      <c r="E1581" s="4">
        <v>45230</v>
      </c>
    </row>
    <row r="1582" spans="1:5" x14ac:dyDescent="0.25">
      <c r="A1582" s="1" t="str">
        <f>"THE WACKA WAGON COMPANY LTD"</f>
        <v>THE WACKA WAGON COMPANY LTD</v>
      </c>
      <c r="B1582" t="str">
        <f>"10840456"</f>
        <v>10840456</v>
      </c>
      <c r="C1582" s="2" t="s">
        <v>35</v>
      </c>
      <c r="D1582" s="2" t="s">
        <v>7</v>
      </c>
      <c r="E1582" s="4">
        <v>45230</v>
      </c>
    </row>
    <row r="1583" spans="1:5" x14ac:dyDescent="0.25">
      <c r="A1583" s="1" t="str">
        <f>"AGRI ELECTRICAL AND SECURITY LTD"</f>
        <v>AGRI ELECTRICAL AND SECURITY LTD</v>
      </c>
      <c r="B1583" t="str">
        <f>"07873893"</f>
        <v>07873893</v>
      </c>
      <c r="C1583" s="2" t="s">
        <v>35</v>
      </c>
      <c r="D1583" s="2" t="s">
        <v>7</v>
      </c>
      <c r="E1583" s="4">
        <v>45230</v>
      </c>
    </row>
    <row r="1584" spans="1:5" x14ac:dyDescent="0.25">
      <c r="A1584" s="1" t="str">
        <f>"NN AIRCON LTD"</f>
        <v>NN AIRCON LTD</v>
      </c>
      <c r="B1584" t="str">
        <f>"08968141"</f>
        <v>08968141</v>
      </c>
      <c r="C1584" s="2" t="s">
        <v>35</v>
      </c>
      <c r="D1584" s="2" t="s">
        <v>7</v>
      </c>
      <c r="E1584" s="4">
        <v>45230</v>
      </c>
    </row>
    <row r="1585" spans="1:5" x14ac:dyDescent="0.25">
      <c r="A1585" s="1" t="str">
        <f>"MADOM LIMITED"</f>
        <v>MADOM LIMITED</v>
      </c>
      <c r="B1585" t="str">
        <f>"10031925"</f>
        <v>10031925</v>
      </c>
      <c r="C1585" s="2" t="s">
        <v>35</v>
      </c>
      <c r="D1585" s="2" t="s">
        <v>7</v>
      </c>
      <c r="E1585" s="4">
        <v>45231</v>
      </c>
    </row>
    <row r="1586" spans="1:5" x14ac:dyDescent="0.25">
      <c r="A1586" s="1" t="str">
        <f>"BZ PAINTING &amp; DECORATING LTD"</f>
        <v>BZ PAINTING &amp; DECORATING LTD</v>
      </c>
      <c r="B1586" t="str">
        <f>"12126496"</f>
        <v>12126496</v>
      </c>
      <c r="C1586" s="2" t="s">
        <v>35</v>
      </c>
      <c r="D1586" s="2" t="s">
        <v>7</v>
      </c>
      <c r="E1586" s="4">
        <v>45231</v>
      </c>
    </row>
    <row r="1587" spans="1:5" x14ac:dyDescent="0.25">
      <c r="A1587" s="1" t="str">
        <f>"DAN C COMPOSITES LTD"</f>
        <v>DAN C COMPOSITES LTD</v>
      </c>
      <c r="B1587" t="str">
        <f>"11846494"</f>
        <v>11846494</v>
      </c>
      <c r="C1587" s="2" t="s">
        <v>35</v>
      </c>
      <c r="D1587" s="2" t="s">
        <v>7</v>
      </c>
      <c r="E1587" s="4">
        <v>45232</v>
      </c>
    </row>
    <row r="1588" spans="1:5" x14ac:dyDescent="0.25">
      <c r="A1588" s="1" t="str">
        <f>"SEEDLINGS CARDS &amp; GIFTS LTD"</f>
        <v>SEEDLINGS CARDS &amp; GIFTS LTD</v>
      </c>
      <c r="B1588" t="str">
        <f>"07530015"</f>
        <v>07530015</v>
      </c>
      <c r="C1588" s="2" t="s">
        <v>35</v>
      </c>
      <c r="D1588" s="2" t="s">
        <v>7</v>
      </c>
      <c r="E1588" s="4">
        <v>45232</v>
      </c>
    </row>
    <row r="1589" spans="1:5" x14ac:dyDescent="0.25">
      <c r="A1589" s="1" t="str">
        <f>"G V R CONSTRUCTION LIMITED"</f>
        <v>G V R CONSTRUCTION LIMITED</v>
      </c>
      <c r="B1589" t="str">
        <f>"09789558"</f>
        <v>09789558</v>
      </c>
      <c r="C1589" s="2" t="s">
        <v>35</v>
      </c>
      <c r="D1589" s="2" t="s">
        <v>7</v>
      </c>
      <c r="E1589" s="4">
        <v>45233</v>
      </c>
    </row>
    <row r="1590" spans="1:5" x14ac:dyDescent="0.25">
      <c r="A1590" s="1" t="str">
        <f>"BLUE PENCIL LIMITED"</f>
        <v>BLUE PENCIL LIMITED</v>
      </c>
      <c r="B1590" t="str">
        <f>"04381278"</f>
        <v>04381278</v>
      </c>
      <c r="C1590" s="2" t="s">
        <v>35</v>
      </c>
      <c r="D1590" s="2" t="s">
        <v>7</v>
      </c>
      <c r="E1590" s="4">
        <v>45233</v>
      </c>
    </row>
    <row r="1591" spans="1:5" x14ac:dyDescent="0.25">
      <c r="A1591" s="1" t="str">
        <f>"GRASS ROOTS ARTIST MANAGEMENT LTD"</f>
        <v>GRASS ROOTS ARTIST MANAGEMENT LTD</v>
      </c>
      <c r="B1591" t="str">
        <f>"07363765"</f>
        <v>07363765</v>
      </c>
      <c r="C1591" s="2" t="s">
        <v>35</v>
      </c>
      <c r="D1591" s="2" t="s">
        <v>7</v>
      </c>
      <c r="E1591" s="4">
        <v>45236</v>
      </c>
    </row>
    <row r="1592" spans="1:5" x14ac:dyDescent="0.25">
      <c r="A1592" s="1" t="str">
        <f>"J &amp; M DEVELOPMENTS LIMITED"</f>
        <v>J &amp; M DEVELOPMENTS LIMITED</v>
      </c>
      <c r="B1592" t="str">
        <f>"11557132"</f>
        <v>11557132</v>
      </c>
      <c r="C1592" s="2" t="s">
        <v>35</v>
      </c>
      <c r="D1592" s="2" t="s">
        <v>7</v>
      </c>
      <c r="E1592" s="4">
        <v>45236</v>
      </c>
    </row>
    <row r="1593" spans="1:5" x14ac:dyDescent="0.25">
      <c r="A1593" s="1" t="str">
        <f>"LUXE DESIGN DEVELOPMENTS LTD"</f>
        <v>LUXE DESIGN DEVELOPMENTS LTD</v>
      </c>
      <c r="B1593" t="str">
        <f>"08003390"</f>
        <v>08003390</v>
      </c>
      <c r="C1593" s="2" t="s">
        <v>35</v>
      </c>
      <c r="D1593" s="2" t="s">
        <v>7</v>
      </c>
      <c r="E1593" s="4">
        <v>45236</v>
      </c>
    </row>
    <row r="1594" spans="1:5" x14ac:dyDescent="0.25">
      <c r="A1594" s="1" t="str">
        <f>"SAMRAN TECHNOLOGIES LIMITED"</f>
        <v>SAMRAN TECHNOLOGIES LIMITED</v>
      </c>
      <c r="B1594" t="str">
        <f>"05634847"</f>
        <v>05634847</v>
      </c>
      <c r="C1594" s="2" t="s">
        <v>35</v>
      </c>
      <c r="D1594" s="2" t="s">
        <v>7</v>
      </c>
      <c r="E1594" s="4">
        <v>45237</v>
      </c>
    </row>
    <row r="1595" spans="1:5" x14ac:dyDescent="0.25">
      <c r="A1595" s="1" t="str">
        <f>"PHOENIX TILES LTD"</f>
        <v>PHOENIX TILES LTD</v>
      </c>
      <c r="B1595" t="str">
        <f>"08469729"</f>
        <v>08469729</v>
      </c>
      <c r="C1595" s="2" t="s">
        <v>35</v>
      </c>
      <c r="D1595" s="2" t="s">
        <v>7</v>
      </c>
      <c r="E1595" s="4">
        <v>45237</v>
      </c>
    </row>
    <row r="1596" spans="1:5" x14ac:dyDescent="0.25">
      <c r="A1596" s="1" t="str">
        <f>"MELKSHAM TANDOORI LIMITED"</f>
        <v>MELKSHAM TANDOORI LIMITED</v>
      </c>
      <c r="B1596" t="str">
        <f>"05444537"</f>
        <v>05444537</v>
      </c>
      <c r="C1596" s="2" t="s">
        <v>35</v>
      </c>
      <c r="D1596" s="2" t="s">
        <v>7</v>
      </c>
      <c r="E1596" s="4">
        <v>45238</v>
      </c>
    </row>
    <row r="1597" spans="1:5" x14ac:dyDescent="0.25">
      <c r="A1597" s="1" t="str">
        <f>"TINY TIGERS LIMITED"</f>
        <v>TINY TIGERS LIMITED</v>
      </c>
      <c r="B1597" t="str">
        <f>"12095743"</f>
        <v>12095743</v>
      </c>
      <c r="C1597" s="2" t="s">
        <v>35</v>
      </c>
      <c r="D1597" s="2" t="s">
        <v>7</v>
      </c>
      <c r="E1597" s="4">
        <v>45238</v>
      </c>
    </row>
    <row r="1598" spans="1:5" x14ac:dyDescent="0.25">
      <c r="A1598" s="1" t="str">
        <f>"BREW COFFEE PLUS LTD"</f>
        <v>BREW COFFEE PLUS LTD</v>
      </c>
      <c r="B1598" t="str">
        <f>"11698378"</f>
        <v>11698378</v>
      </c>
      <c r="C1598" s="2" t="s">
        <v>35</v>
      </c>
      <c r="D1598" s="2" t="s">
        <v>7</v>
      </c>
      <c r="E1598" s="4">
        <v>45238</v>
      </c>
    </row>
    <row r="1599" spans="1:5" x14ac:dyDescent="0.25">
      <c r="A1599" s="1" t="str">
        <f>"PAUL FELIX DESIGNS LIMITED"</f>
        <v>PAUL FELIX DESIGNS LIMITED</v>
      </c>
      <c r="B1599" t="str">
        <f>"11599790"</f>
        <v>11599790</v>
      </c>
      <c r="C1599" s="2" t="s">
        <v>35</v>
      </c>
      <c r="D1599" s="2" t="s">
        <v>7</v>
      </c>
      <c r="E1599" s="4">
        <v>45239</v>
      </c>
    </row>
    <row r="1600" spans="1:5" x14ac:dyDescent="0.25">
      <c r="A1600" s="1" t="str">
        <f>"HENNESSY BUILDING SERVICES LTD"</f>
        <v>HENNESSY BUILDING SERVICES LTD</v>
      </c>
      <c r="B1600" t="str">
        <f>"12425873"</f>
        <v>12425873</v>
      </c>
      <c r="C1600" s="2" t="s">
        <v>35</v>
      </c>
      <c r="D1600" s="2" t="s">
        <v>7</v>
      </c>
      <c r="E1600" s="4">
        <v>45239</v>
      </c>
    </row>
    <row r="1601" spans="1:5" x14ac:dyDescent="0.25">
      <c r="A1601" s="1" t="str">
        <f>"CDB CONSULTING ENGINEERS LTD"</f>
        <v>CDB CONSULTING ENGINEERS LTD</v>
      </c>
      <c r="B1601" t="str">
        <f>"07326797"</f>
        <v>07326797</v>
      </c>
      <c r="C1601" s="2" t="s">
        <v>35</v>
      </c>
      <c r="D1601" s="2" t="s">
        <v>7</v>
      </c>
      <c r="E1601" s="4">
        <v>45240</v>
      </c>
    </row>
    <row r="1602" spans="1:5" x14ac:dyDescent="0.25">
      <c r="A1602" s="1" t="str">
        <f>"HV RECONNECTIONS LIMITED"</f>
        <v>HV RECONNECTIONS LIMITED</v>
      </c>
      <c r="B1602" t="str">
        <f>"13888335"</f>
        <v>13888335</v>
      </c>
      <c r="C1602" s="2" t="s">
        <v>35</v>
      </c>
      <c r="D1602" s="2" t="s">
        <v>7</v>
      </c>
      <c r="E1602" s="4">
        <v>45240</v>
      </c>
    </row>
    <row r="1603" spans="1:5" x14ac:dyDescent="0.25">
      <c r="A1603" s="1" t="str">
        <f>"THE CONVERTED CLICK LIMITED"</f>
        <v>THE CONVERTED CLICK LIMITED</v>
      </c>
      <c r="B1603" t="str">
        <f>"12162228"</f>
        <v>12162228</v>
      </c>
      <c r="C1603" s="2" t="s">
        <v>35</v>
      </c>
      <c r="D1603" s="2" t="s">
        <v>7</v>
      </c>
      <c r="E1603" s="4">
        <v>45243</v>
      </c>
    </row>
    <row r="1604" spans="1:5" x14ac:dyDescent="0.25">
      <c r="A1604" s="1" t="str">
        <f>"CASE HUT LIMITED"</f>
        <v>CASE HUT LIMITED</v>
      </c>
      <c r="B1604" t="str">
        <f>"10990837"</f>
        <v>10990837</v>
      </c>
      <c r="C1604" s="2" t="s">
        <v>35</v>
      </c>
      <c r="D1604" s="2" t="s">
        <v>7</v>
      </c>
      <c r="E1604" s="4">
        <v>45243</v>
      </c>
    </row>
    <row r="1605" spans="1:5" x14ac:dyDescent="0.25">
      <c r="A1605" s="1" t="str">
        <f>"AIDA CUISINE LIMITED"</f>
        <v>AIDA CUISINE LIMITED</v>
      </c>
      <c r="B1605" t="str">
        <f>"10861224"</f>
        <v>10861224</v>
      </c>
      <c r="C1605" s="2" t="s">
        <v>35</v>
      </c>
      <c r="D1605" s="2" t="s">
        <v>7</v>
      </c>
      <c r="E1605" s="4">
        <v>45244</v>
      </c>
    </row>
    <row r="1606" spans="1:5" x14ac:dyDescent="0.25">
      <c r="A1606" s="1" t="s">
        <v>654</v>
      </c>
      <c r="B1606">
        <v>7155719</v>
      </c>
      <c r="C1606" s="2" t="s">
        <v>35</v>
      </c>
      <c r="D1606" s="2" t="s">
        <v>7</v>
      </c>
      <c r="E1606" s="4">
        <v>45244</v>
      </c>
    </row>
    <row r="1607" spans="1:5" x14ac:dyDescent="0.25">
      <c r="A1607" s="1" t="s">
        <v>674</v>
      </c>
      <c r="B1607">
        <v>10058520</v>
      </c>
      <c r="C1607" s="2" t="s">
        <v>35</v>
      </c>
      <c r="D1607" s="2" t="s">
        <v>7</v>
      </c>
      <c r="E1607" s="4">
        <v>45244</v>
      </c>
    </row>
    <row r="1608" spans="1:5" x14ac:dyDescent="0.25">
      <c r="A1608" s="1" t="s">
        <v>649</v>
      </c>
      <c r="B1608">
        <v>9000218</v>
      </c>
      <c r="C1608" s="2" t="s">
        <v>35</v>
      </c>
      <c r="D1608" s="2" t="s">
        <v>7</v>
      </c>
      <c r="E1608" s="4">
        <v>45245</v>
      </c>
    </row>
    <row r="1609" spans="1:5" x14ac:dyDescent="0.25">
      <c r="A1609" s="1" t="s">
        <v>788</v>
      </c>
      <c r="B1609" t="s">
        <v>789</v>
      </c>
      <c r="C1609" s="2" t="s">
        <v>35</v>
      </c>
      <c r="D1609" s="2" t="s">
        <v>7</v>
      </c>
      <c r="E1609" s="4">
        <v>45245</v>
      </c>
    </row>
    <row r="1610" spans="1:5" x14ac:dyDescent="0.25">
      <c r="A1610" s="1" t="s">
        <v>695</v>
      </c>
      <c r="B1610" t="s">
        <v>696</v>
      </c>
      <c r="C1610" s="2" t="s">
        <v>35</v>
      </c>
      <c r="D1610" s="2" t="s">
        <v>7</v>
      </c>
      <c r="E1610" s="4">
        <v>45246</v>
      </c>
    </row>
    <row r="1611" spans="1:5" x14ac:dyDescent="0.25">
      <c r="A1611" s="1" t="str">
        <f>"WESTLAND PHARMACEUTICALS LIMITED"</f>
        <v>WESTLAND PHARMACEUTICALS LIMITED</v>
      </c>
      <c r="B1611" t="str">
        <f>"01317837"</f>
        <v>01317837</v>
      </c>
      <c r="C1611" s="2" t="s">
        <v>35</v>
      </c>
      <c r="D1611" s="2" t="s">
        <v>7</v>
      </c>
      <c r="E1611" s="4">
        <v>45246</v>
      </c>
    </row>
    <row r="1612" spans="1:5" x14ac:dyDescent="0.25">
      <c r="A1612" s="1" t="str">
        <f>"NCC SITE SERVICES LTD"</f>
        <v>NCC SITE SERVICES LTD</v>
      </c>
      <c r="B1612" t="str">
        <f>"10813876"</f>
        <v>10813876</v>
      </c>
      <c r="C1612" s="2" t="s">
        <v>35</v>
      </c>
      <c r="D1612" s="2" t="s">
        <v>7</v>
      </c>
      <c r="E1612" s="4">
        <v>45247</v>
      </c>
    </row>
    <row r="1613" spans="1:5" x14ac:dyDescent="0.25">
      <c r="A1613" s="1" t="str">
        <f>"HAMPSHIRE WASTE DISPOSAL LIMITED"</f>
        <v>HAMPSHIRE WASTE DISPOSAL LIMITED</v>
      </c>
      <c r="B1613" t="str">
        <f>"10512453"</f>
        <v>10512453</v>
      </c>
      <c r="C1613" s="2" t="s">
        <v>35</v>
      </c>
      <c r="D1613" s="2" t="s">
        <v>7</v>
      </c>
      <c r="E1613" s="4">
        <v>45247</v>
      </c>
    </row>
    <row r="1614" spans="1:5" x14ac:dyDescent="0.25">
      <c r="A1614" s="1" t="str">
        <f>"AS HGV LTD"</f>
        <v>AS HGV LTD</v>
      </c>
      <c r="B1614" t="str">
        <f>"12414320"</f>
        <v>12414320</v>
      </c>
      <c r="C1614" s="2" t="s">
        <v>35</v>
      </c>
      <c r="D1614" s="2" t="s">
        <v>7</v>
      </c>
      <c r="E1614" s="4">
        <v>45250</v>
      </c>
    </row>
    <row r="1615" spans="1:5" x14ac:dyDescent="0.25">
      <c r="A1615" s="1" t="str">
        <f>"JUMI HOPE LTD"</f>
        <v>JUMI HOPE LTD</v>
      </c>
      <c r="B1615" t="str">
        <f>"11238973"</f>
        <v>11238973</v>
      </c>
      <c r="C1615" s="2" t="s">
        <v>35</v>
      </c>
      <c r="D1615" s="2" t="s">
        <v>7</v>
      </c>
      <c r="E1615" s="4">
        <v>45250</v>
      </c>
    </row>
    <row r="1616" spans="1:5" x14ac:dyDescent="0.25">
      <c r="A1616" s="1" t="str">
        <f>"ALCESTER AUTO REPAIR CENTRE LTD"</f>
        <v>ALCESTER AUTO REPAIR CENTRE LTD</v>
      </c>
      <c r="B1616" t="str">
        <f>"12120543"</f>
        <v>12120543</v>
      </c>
      <c r="C1616" s="2" t="s">
        <v>35</v>
      </c>
      <c r="D1616" s="2" t="s">
        <v>7</v>
      </c>
      <c r="E1616" s="4">
        <v>45251</v>
      </c>
    </row>
    <row r="1617" spans="1:5" x14ac:dyDescent="0.25">
      <c r="A1617" s="1" t="str">
        <f>"FTTM HOLDINGS LIMITED"</f>
        <v>FTTM HOLDINGS LIMITED</v>
      </c>
      <c r="B1617" t="str">
        <f>"09849013"</f>
        <v>09849013</v>
      </c>
      <c r="C1617" s="2" t="s">
        <v>35</v>
      </c>
      <c r="D1617" s="2" t="s">
        <v>7</v>
      </c>
      <c r="E1617" s="4">
        <v>45251</v>
      </c>
    </row>
    <row r="1618" spans="1:5" x14ac:dyDescent="0.25">
      <c r="A1618" s="1" t="s">
        <v>807</v>
      </c>
      <c r="B1618">
        <v>8686921</v>
      </c>
      <c r="C1618" s="2" t="s">
        <v>35</v>
      </c>
      <c r="D1618" s="2" t="s">
        <v>7</v>
      </c>
      <c r="E1618" s="4">
        <v>45252</v>
      </c>
    </row>
    <row r="1619" spans="1:5" x14ac:dyDescent="0.25">
      <c r="A1619" s="1" t="str">
        <f>"MIDLAND COLDSTORE CONSTRUCTION LTD"</f>
        <v>MIDLAND COLDSTORE CONSTRUCTION LTD</v>
      </c>
      <c r="B1619" t="str">
        <f>"09422126"</f>
        <v>09422126</v>
      </c>
      <c r="C1619" s="2" t="s">
        <v>35</v>
      </c>
      <c r="D1619" s="2" t="s">
        <v>7</v>
      </c>
      <c r="E1619" s="4">
        <v>45253</v>
      </c>
    </row>
    <row r="1620" spans="1:5" x14ac:dyDescent="0.25">
      <c r="A1620" s="1" t="str">
        <f>"OUTDOOR LEISURE EU  LIMITED"</f>
        <v>OUTDOOR LEISURE EU  LIMITED</v>
      </c>
      <c r="B1620" t="str">
        <f>"05352129"</f>
        <v>05352129</v>
      </c>
      <c r="C1620" s="2" t="s">
        <v>35</v>
      </c>
      <c r="D1620" s="2" t="s">
        <v>7</v>
      </c>
      <c r="E1620" s="4">
        <v>45253</v>
      </c>
    </row>
    <row r="1621" spans="1:5" x14ac:dyDescent="0.25">
      <c r="A1621" s="1" t="str">
        <f>"STEPHENS INTERIORS LTD"</f>
        <v>STEPHENS INTERIORS LTD</v>
      </c>
      <c r="B1621" t="str">
        <f>"12120455"</f>
        <v>12120455</v>
      </c>
      <c r="C1621" s="2" t="s">
        <v>35</v>
      </c>
      <c r="D1621" s="2" t="s">
        <v>7</v>
      </c>
      <c r="E1621" s="4">
        <v>45254</v>
      </c>
    </row>
    <row r="1622" spans="1:5" x14ac:dyDescent="0.25">
      <c r="A1622" s="1" t="str">
        <f>"WALKER INNS LTD"</f>
        <v>WALKER INNS LTD</v>
      </c>
      <c r="B1622" t="str">
        <f>"14767078"</f>
        <v>14767078</v>
      </c>
      <c r="C1622" s="2" t="s">
        <v>35</v>
      </c>
      <c r="D1622" s="2" t="s">
        <v>7</v>
      </c>
      <c r="E1622" s="4">
        <v>45254</v>
      </c>
    </row>
    <row r="1623" spans="1:5" x14ac:dyDescent="0.25">
      <c r="A1623" s="1" t="str">
        <f>"BEE-FIT CLUB LIMITED"</f>
        <v>BEE-FIT CLUB LIMITED</v>
      </c>
      <c r="B1623" t="str">
        <f>"07548499"</f>
        <v>07548499</v>
      </c>
      <c r="C1623" s="2" t="s">
        <v>109</v>
      </c>
      <c r="D1623" s="2" t="s">
        <v>209</v>
      </c>
      <c r="E1623" s="4">
        <v>45231</v>
      </c>
    </row>
    <row r="1624" spans="1:5" x14ac:dyDescent="0.25">
      <c r="A1624" s="1" t="str">
        <f>"LYNWORTH CONSTRUCTION LTD"</f>
        <v>LYNWORTH CONSTRUCTION LTD</v>
      </c>
      <c r="B1624" t="str">
        <f>"13902399"</f>
        <v>13902399</v>
      </c>
      <c r="C1624" s="2" t="s">
        <v>109</v>
      </c>
      <c r="D1624" s="2" t="s">
        <v>209</v>
      </c>
      <c r="E1624" s="4">
        <v>45238</v>
      </c>
    </row>
    <row r="1625" spans="1:5" x14ac:dyDescent="0.25">
      <c r="A1625" s="1" t="str">
        <f>"ONE-ON LIMITED"</f>
        <v>ONE-ON LIMITED</v>
      </c>
      <c r="B1625" t="str">
        <f>"06976797"</f>
        <v>06976797</v>
      </c>
      <c r="C1625" s="2" t="s">
        <v>109</v>
      </c>
      <c r="D1625" s="2" t="s">
        <v>110</v>
      </c>
      <c r="E1625" s="4">
        <v>45153</v>
      </c>
    </row>
    <row r="1626" spans="1:5" x14ac:dyDescent="0.25">
      <c r="A1626" s="1" t="s">
        <v>410</v>
      </c>
      <c r="B1626">
        <v>14251720</v>
      </c>
      <c r="C1626" s="2" t="s">
        <v>109</v>
      </c>
      <c r="D1626" s="2" t="s">
        <v>110</v>
      </c>
      <c r="E1626" s="4">
        <v>45225</v>
      </c>
    </row>
    <row r="1627" spans="1:5" x14ac:dyDescent="0.25">
      <c r="A1627" s="1" t="str">
        <f>"LICHFIELD INVESTMENTS LIMITED"</f>
        <v>LICHFIELD INVESTMENTS LIMITED</v>
      </c>
      <c r="B1627" t="str">
        <f>"13235040"</f>
        <v>13235040</v>
      </c>
      <c r="C1627" s="2" t="s">
        <v>109</v>
      </c>
      <c r="D1627" s="2" t="s">
        <v>110</v>
      </c>
      <c r="E1627" s="4">
        <v>45233</v>
      </c>
    </row>
    <row r="1628" spans="1:5" x14ac:dyDescent="0.25">
      <c r="A1628" s="1" t="str">
        <f>"CARMARTHENSHIRE GARDEN BUILDINGS LTD"</f>
        <v>CARMARTHENSHIRE GARDEN BUILDINGS LTD</v>
      </c>
      <c r="B1628" t="str">
        <f>"12318176"</f>
        <v>12318176</v>
      </c>
      <c r="C1628" s="2" t="s">
        <v>109</v>
      </c>
      <c r="D1628" s="2" t="s">
        <v>110</v>
      </c>
      <c r="E1628" s="4">
        <v>45238</v>
      </c>
    </row>
    <row r="1629" spans="1:5" x14ac:dyDescent="0.25">
      <c r="A1629" s="1" t="str">
        <f>"PIP &amp; GRACE LIMITED"</f>
        <v>PIP &amp; GRACE LIMITED</v>
      </c>
      <c r="B1629" t="str">
        <f>"11667448"</f>
        <v>11667448</v>
      </c>
      <c r="C1629" s="2" t="s">
        <v>109</v>
      </c>
      <c r="D1629" s="2" t="s">
        <v>110</v>
      </c>
      <c r="E1629" s="4">
        <v>45244</v>
      </c>
    </row>
    <row r="1630" spans="1:5" x14ac:dyDescent="0.25">
      <c r="A1630" s="1" t="str">
        <f>"ANALOG MOTION LTD"</f>
        <v>ANALOG MOTION LTD</v>
      </c>
      <c r="B1630" t="str">
        <f>"11084148"</f>
        <v>11084148</v>
      </c>
      <c r="C1630" s="2" t="s">
        <v>109</v>
      </c>
      <c r="D1630" s="2" t="s">
        <v>110</v>
      </c>
      <c r="E1630" s="4">
        <v>45245</v>
      </c>
    </row>
    <row r="1631" spans="1:5" x14ac:dyDescent="0.25">
      <c r="A1631" s="1" t="str">
        <f>"EXPERIENCE ENERGY UK LTD"</f>
        <v>EXPERIENCE ENERGY UK LTD</v>
      </c>
      <c r="B1631" t="str">
        <f>"09140394"</f>
        <v>09140394</v>
      </c>
      <c r="C1631" s="2" t="s">
        <v>109</v>
      </c>
      <c r="D1631" s="2" t="s">
        <v>110</v>
      </c>
      <c r="E1631" s="4">
        <v>45251</v>
      </c>
    </row>
    <row r="1632" spans="1:5" x14ac:dyDescent="0.25">
      <c r="A1632" s="1" t="str">
        <f>"BILLINGSHURST DAIRIES LTD"</f>
        <v>BILLINGSHURST DAIRIES LTD</v>
      </c>
      <c r="B1632" t="str">
        <f>"12593249"</f>
        <v>12593249</v>
      </c>
      <c r="C1632" s="2" t="s">
        <v>109</v>
      </c>
      <c r="D1632" s="2" t="s">
        <v>110</v>
      </c>
      <c r="E1632" s="4">
        <v>45251</v>
      </c>
    </row>
    <row r="1633" spans="1:5" x14ac:dyDescent="0.25">
      <c r="A1633" s="1" t="s">
        <v>848</v>
      </c>
      <c r="B1633">
        <v>12332521</v>
      </c>
      <c r="C1633" s="2" t="s">
        <v>109</v>
      </c>
      <c r="D1633" s="2" t="s">
        <v>110</v>
      </c>
      <c r="E1633" s="4">
        <v>45252</v>
      </c>
    </row>
    <row r="1634" spans="1:5" x14ac:dyDescent="0.25">
      <c r="A1634" s="1" t="str">
        <f>"PLAIN 'N' PURL LIMITED"</f>
        <v>PLAIN 'N' PURL LIMITED</v>
      </c>
      <c r="B1634" t="str">
        <f>"08859841"</f>
        <v>08859841</v>
      </c>
      <c r="C1634" s="2" t="s">
        <v>109</v>
      </c>
      <c r="D1634" s="2" t="s">
        <v>110</v>
      </c>
      <c r="E1634" s="4">
        <v>45252</v>
      </c>
    </row>
    <row r="1635" spans="1:5" x14ac:dyDescent="0.25">
      <c r="A1635" s="1" t="str">
        <f>"FF BUILDING CONTRACTORS LTD"</f>
        <v>FF BUILDING CONTRACTORS LTD</v>
      </c>
      <c r="B1635" t="str">
        <f>"12477010"</f>
        <v>12477010</v>
      </c>
      <c r="C1635" s="2" t="s">
        <v>326</v>
      </c>
      <c r="D1635" s="2" t="s">
        <v>7</v>
      </c>
      <c r="E1635" s="4">
        <v>45243</v>
      </c>
    </row>
    <row r="1636" spans="1:5" x14ac:dyDescent="0.25">
      <c r="A1636" s="1" t="s">
        <v>548</v>
      </c>
      <c r="B1636">
        <v>6911124</v>
      </c>
      <c r="C1636" s="2" t="s">
        <v>296</v>
      </c>
      <c r="D1636" s="2" t="s">
        <v>71</v>
      </c>
      <c r="E1636" s="4">
        <v>45230</v>
      </c>
    </row>
    <row r="1637" spans="1:5" x14ac:dyDescent="0.25">
      <c r="A1637" s="1" t="s">
        <v>640</v>
      </c>
      <c r="B1637">
        <v>6778376</v>
      </c>
      <c r="C1637" s="2" t="s">
        <v>641</v>
      </c>
      <c r="D1637" s="2" t="s">
        <v>71</v>
      </c>
      <c r="E1637" s="4">
        <v>45246</v>
      </c>
    </row>
    <row r="1638" spans="1:5" x14ac:dyDescent="0.25">
      <c r="A1638" s="1" t="str">
        <f>"FENRIR DIGITAL LTD"</f>
        <v>FENRIR DIGITAL LTD</v>
      </c>
      <c r="B1638" t="str">
        <f>"11134650"</f>
        <v>11134650</v>
      </c>
      <c r="C1638" s="2" t="s">
        <v>641</v>
      </c>
      <c r="D1638" s="2" t="s">
        <v>71</v>
      </c>
      <c r="E1638" s="4">
        <v>45252</v>
      </c>
    </row>
    <row r="1639" spans="1:5" x14ac:dyDescent="0.25">
      <c r="A1639" s="1" t="s">
        <v>390</v>
      </c>
      <c r="B1639">
        <v>13694568</v>
      </c>
      <c r="C1639" s="2" t="s">
        <v>148</v>
      </c>
      <c r="D1639" s="2" t="s">
        <v>34</v>
      </c>
      <c r="E1639" s="4">
        <v>45229</v>
      </c>
    </row>
    <row r="1640" spans="1:5" x14ac:dyDescent="0.25">
      <c r="A1640" s="1" t="s">
        <v>391</v>
      </c>
      <c r="B1640">
        <v>8006636</v>
      </c>
      <c r="C1640" s="2" t="s">
        <v>148</v>
      </c>
      <c r="D1640" s="2" t="s">
        <v>34</v>
      </c>
      <c r="E1640" s="4">
        <v>45229</v>
      </c>
    </row>
    <row r="1641" spans="1:5" x14ac:dyDescent="0.25">
      <c r="A1641" s="1" t="s">
        <v>383</v>
      </c>
      <c r="B1641">
        <v>4107666</v>
      </c>
      <c r="C1641" s="2" t="s">
        <v>148</v>
      </c>
      <c r="D1641" s="2" t="s">
        <v>34</v>
      </c>
      <c r="E1641" s="4">
        <v>45229</v>
      </c>
    </row>
    <row r="1642" spans="1:5" x14ac:dyDescent="0.25">
      <c r="A1642" s="1" t="s">
        <v>450</v>
      </c>
      <c r="B1642">
        <v>12144306</v>
      </c>
      <c r="C1642" s="2" t="s">
        <v>148</v>
      </c>
      <c r="D1642" s="2" t="s">
        <v>34</v>
      </c>
      <c r="E1642" s="4">
        <v>45230</v>
      </c>
    </row>
    <row r="1643" spans="1:5" x14ac:dyDescent="0.25">
      <c r="A1643" s="1" t="str">
        <f>"LIFEFYLE LTD"</f>
        <v>LIFEFYLE LTD</v>
      </c>
      <c r="B1643" t="str">
        <f>"10592898"</f>
        <v>10592898</v>
      </c>
      <c r="C1643" s="2" t="s">
        <v>148</v>
      </c>
      <c r="D1643" s="2" t="s">
        <v>34</v>
      </c>
      <c r="E1643" s="4">
        <v>45233</v>
      </c>
    </row>
    <row r="1644" spans="1:5" x14ac:dyDescent="0.25">
      <c r="A1644" s="1" t="s">
        <v>832</v>
      </c>
      <c r="B1644">
        <v>10740666</v>
      </c>
      <c r="C1644" s="2" t="s">
        <v>148</v>
      </c>
      <c r="D1644" s="2" t="s">
        <v>34</v>
      </c>
      <c r="E1644" s="4">
        <v>45253</v>
      </c>
    </row>
    <row r="1645" spans="1:5" x14ac:dyDescent="0.25">
      <c r="A1645" s="1" t="str">
        <f>"E3 EDUCATION LIMITED"</f>
        <v>E3 EDUCATION LIMITED</v>
      </c>
      <c r="B1645" t="str">
        <f>"12366859"</f>
        <v>12366859</v>
      </c>
      <c r="C1645" s="2" t="s">
        <v>177</v>
      </c>
      <c r="D1645" s="2" t="s">
        <v>11</v>
      </c>
      <c r="E1645" s="4">
        <v>45240</v>
      </c>
    </row>
    <row r="1646" spans="1:5" x14ac:dyDescent="0.25">
      <c r="A1646" s="1" t="str">
        <f>"DEVOTED PET FOODS LIMITED"</f>
        <v>DEVOTED PET FOODS LIMITED</v>
      </c>
      <c r="B1646" t="str">
        <f>"08364385"</f>
        <v>08364385</v>
      </c>
      <c r="C1646" s="2" t="s">
        <v>177</v>
      </c>
      <c r="D1646" s="2" t="s">
        <v>224</v>
      </c>
      <c r="E1646" s="4">
        <v>45233</v>
      </c>
    </row>
    <row r="1647" spans="1:5" x14ac:dyDescent="0.25">
      <c r="A1647" s="1" t="s">
        <v>478</v>
      </c>
      <c r="B1647">
        <v>6526253</v>
      </c>
      <c r="C1647" s="2" t="s">
        <v>342</v>
      </c>
      <c r="D1647" s="2" t="s">
        <v>63</v>
      </c>
      <c r="E1647" s="4">
        <v>45230</v>
      </c>
    </row>
    <row r="1648" spans="1:5" x14ac:dyDescent="0.25">
      <c r="A1648" s="1" t="s">
        <v>532</v>
      </c>
      <c r="B1648">
        <v>13132759</v>
      </c>
      <c r="C1648" s="2" t="s">
        <v>342</v>
      </c>
      <c r="D1648" s="2" t="s">
        <v>63</v>
      </c>
      <c r="E1648" s="4">
        <v>45231</v>
      </c>
    </row>
    <row r="1649" spans="1:5" x14ac:dyDescent="0.25">
      <c r="A1649" s="1" t="str">
        <f>"PAUL THOMAS BUILDING &amp; MAINTENANCE LTD"</f>
        <v>PAUL THOMAS BUILDING &amp; MAINTENANCE LTD</v>
      </c>
      <c r="B1649" t="str">
        <f>"13665248"</f>
        <v>13665248</v>
      </c>
      <c r="C1649" s="2" t="s">
        <v>260</v>
      </c>
      <c r="D1649" s="2" t="s">
        <v>65</v>
      </c>
      <c r="E1649" s="4">
        <v>45237</v>
      </c>
    </row>
    <row r="1650" spans="1:5" x14ac:dyDescent="0.25">
      <c r="A1650" s="1" t="str">
        <f>"MOBILE ALTERATIONS LTD"</f>
        <v>MOBILE ALTERATIONS LTD</v>
      </c>
      <c r="B1650" t="str">
        <f>"12063122"</f>
        <v>12063122</v>
      </c>
      <c r="C1650" s="2" t="s">
        <v>260</v>
      </c>
      <c r="D1650" s="2" t="s">
        <v>65</v>
      </c>
      <c r="E1650" s="4">
        <v>45244</v>
      </c>
    </row>
    <row r="1651" spans="1:5" x14ac:dyDescent="0.25">
      <c r="A1651" s="1" t="str">
        <f>"DRESSOLOGY BY CRISTIANA LTD"</f>
        <v>DRESSOLOGY BY CRISTIANA LTD</v>
      </c>
      <c r="B1651" t="str">
        <f>"11698900"</f>
        <v>11698900</v>
      </c>
      <c r="C1651" s="2" t="s">
        <v>260</v>
      </c>
      <c r="D1651" s="2" t="s">
        <v>65</v>
      </c>
      <c r="E1651" s="4">
        <v>45244</v>
      </c>
    </row>
    <row r="1652" spans="1:5" x14ac:dyDescent="0.25">
      <c r="A1652" s="1" t="str">
        <f>"S.S.M.K. (LAKESIDE) LTD"</f>
        <v>S.S.M.K. (LAKESIDE) LTD</v>
      </c>
      <c r="B1652" t="str">
        <f>"09282133"</f>
        <v>09282133</v>
      </c>
      <c r="C1652" s="2" t="s">
        <v>260</v>
      </c>
      <c r="D1652" s="2" t="s">
        <v>65</v>
      </c>
      <c r="E1652" s="4">
        <v>45257</v>
      </c>
    </row>
    <row r="1653" spans="1:5" x14ac:dyDescent="0.25">
      <c r="A1653" s="1" t="str">
        <f>"N&amp;Z MOTORS LTD"</f>
        <v>N&amp;Z MOTORS LTD</v>
      </c>
      <c r="B1653" t="str">
        <f>"12252688"</f>
        <v>12252688</v>
      </c>
      <c r="C1653" s="2" t="s">
        <v>189</v>
      </c>
      <c r="D1653" s="2" t="s">
        <v>71</v>
      </c>
      <c r="E1653" s="4">
        <v>45229</v>
      </c>
    </row>
    <row r="1654" spans="1:5" x14ac:dyDescent="0.25">
      <c r="A1654" s="1" t="str">
        <f>"R &amp; B FOODSTORES LIMITED"</f>
        <v>R &amp; B FOODSTORES LIMITED</v>
      </c>
      <c r="B1654" t="str">
        <f>"05291512"</f>
        <v>05291512</v>
      </c>
      <c r="C1654" s="2" t="s">
        <v>189</v>
      </c>
      <c r="D1654" s="2" t="s">
        <v>71</v>
      </c>
      <c r="E1654" s="4">
        <v>45230</v>
      </c>
    </row>
    <row r="1655" spans="1:5" x14ac:dyDescent="0.25">
      <c r="A1655" s="1" t="str">
        <f>"KELBACK LIMITED"</f>
        <v>KELBACK LIMITED</v>
      </c>
      <c r="B1655" t="str">
        <f>"02565552"</f>
        <v>02565552</v>
      </c>
      <c r="C1655" s="2" t="s">
        <v>189</v>
      </c>
      <c r="D1655" s="2" t="s">
        <v>71</v>
      </c>
      <c r="E1655" s="4">
        <v>45240</v>
      </c>
    </row>
    <row r="1656" spans="1:5" x14ac:dyDescent="0.25">
      <c r="A1656" s="1" t="str">
        <f>"STELLAR SERVICES LTD"</f>
        <v>STELLAR SERVICES LTD</v>
      </c>
      <c r="B1656" t="str">
        <f>"11779935"</f>
        <v>11779935</v>
      </c>
      <c r="C1656" s="2" t="s">
        <v>189</v>
      </c>
      <c r="D1656" s="2" t="s">
        <v>71</v>
      </c>
      <c r="E1656" s="4">
        <v>45253</v>
      </c>
    </row>
    <row r="1657" spans="1:5" x14ac:dyDescent="0.25">
      <c r="A1657" s="1" t="str">
        <f>"JJR CONSULTANTS LTD"</f>
        <v>JJR CONSULTANTS LTD</v>
      </c>
      <c r="B1657" t="str">
        <f>"12178115"</f>
        <v>12178115</v>
      </c>
      <c r="C1657" s="2" t="s">
        <v>189</v>
      </c>
      <c r="D1657" s="2" t="s">
        <v>71</v>
      </c>
      <c r="E1657" s="4">
        <v>45254</v>
      </c>
    </row>
    <row r="1658" spans="1:5" x14ac:dyDescent="0.25">
      <c r="A1658" s="1" t="str">
        <f>"ZJ TRADERS LTD"</f>
        <v>ZJ TRADERS LTD</v>
      </c>
      <c r="B1658" t="str">
        <f>"10950961"</f>
        <v>10950961</v>
      </c>
      <c r="C1658" s="2" t="s">
        <v>189</v>
      </c>
      <c r="D1658" s="2" t="s">
        <v>71</v>
      </c>
      <c r="E1658" s="4">
        <v>45254</v>
      </c>
    </row>
    <row r="1659" spans="1:5" x14ac:dyDescent="0.25">
      <c r="A1659" s="1" t="s">
        <v>742</v>
      </c>
      <c r="B1659" t="s">
        <v>743</v>
      </c>
      <c r="C1659" s="2" t="s">
        <v>309</v>
      </c>
      <c r="D1659" s="2" t="s">
        <v>310</v>
      </c>
      <c r="E1659" s="4">
        <v>45250</v>
      </c>
    </row>
    <row r="1660" spans="1:5" x14ac:dyDescent="0.25">
      <c r="A1660" s="1" t="str">
        <f>"RWG GROUP LTD"</f>
        <v>RWG GROUP LTD</v>
      </c>
      <c r="B1660" t="str">
        <f>"11773952"</f>
        <v>11773952</v>
      </c>
      <c r="C1660" s="2" t="s">
        <v>585</v>
      </c>
      <c r="D1660" s="2" t="s">
        <v>586</v>
      </c>
      <c r="E1660" s="4">
        <v>45230</v>
      </c>
    </row>
    <row r="1661" spans="1:5" x14ac:dyDescent="0.25">
      <c r="A1661" s="1" t="str">
        <f>"RMCM LTD"</f>
        <v>RMCM LTD</v>
      </c>
      <c r="B1661" t="str">
        <f>"14127643"</f>
        <v>14127643</v>
      </c>
      <c r="C1661" s="2" t="s">
        <v>585</v>
      </c>
      <c r="D1661" s="2" t="s">
        <v>586</v>
      </c>
      <c r="E1661" s="4">
        <v>45250</v>
      </c>
    </row>
    <row r="1662" spans="1:5" x14ac:dyDescent="0.25">
      <c r="A1662" s="1" t="str">
        <f>"MILK AND HONEY PRODUCTIONS LTD"</f>
        <v>MILK AND HONEY PRODUCTIONS LTD</v>
      </c>
      <c r="B1662" t="str">
        <f>"08418736"</f>
        <v>08418736</v>
      </c>
      <c r="C1662" s="2" t="s">
        <v>292</v>
      </c>
      <c r="D1662" s="2" t="s">
        <v>183</v>
      </c>
      <c r="E1662" s="4">
        <v>45231</v>
      </c>
    </row>
    <row r="1663" spans="1:5" x14ac:dyDescent="0.25">
      <c r="A1663" s="1" t="str">
        <f>"COMPLETEOH LTD"</f>
        <v>COMPLETEOH LTD</v>
      </c>
      <c r="B1663" t="str">
        <f>"08092720"</f>
        <v>08092720</v>
      </c>
      <c r="C1663" s="2" t="s">
        <v>292</v>
      </c>
      <c r="D1663" s="2" t="s">
        <v>183</v>
      </c>
      <c r="E1663" s="4">
        <v>45246</v>
      </c>
    </row>
    <row r="1664" spans="1:5" x14ac:dyDescent="0.25">
      <c r="A1664" s="1" t="str">
        <f>"TAPAS &amp; GIN HOUSE LTD"</f>
        <v>TAPAS &amp; GIN HOUSE LTD</v>
      </c>
      <c r="B1664" t="str">
        <f>"12713287"</f>
        <v>12713287</v>
      </c>
      <c r="C1664" s="2" t="s">
        <v>204</v>
      </c>
      <c r="D1664" s="2" t="s">
        <v>73</v>
      </c>
      <c r="E1664" s="4">
        <v>45222</v>
      </c>
    </row>
    <row r="1665" spans="1:5" x14ac:dyDescent="0.25">
      <c r="A1665" s="1" t="str">
        <f>"UK DAB NETWORKS (OPERATIONS) LTD"</f>
        <v>UK DAB NETWORKS (OPERATIONS) LTD</v>
      </c>
      <c r="B1665" t="str">
        <f>"12981475"</f>
        <v>12981475</v>
      </c>
      <c r="C1665" s="2" t="s">
        <v>582</v>
      </c>
      <c r="D1665" s="2" t="s">
        <v>73</v>
      </c>
      <c r="E1665" s="4">
        <v>45223</v>
      </c>
    </row>
    <row r="1666" spans="1:5" x14ac:dyDescent="0.25">
      <c r="A1666" s="1" t="str">
        <f>"CELTIC STRENGTH &amp; FITNESS LTD"</f>
        <v>CELTIC STRENGTH &amp; FITNESS LTD</v>
      </c>
      <c r="B1666" t="str">
        <f>"13047239"</f>
        <v>13047239</v>
      </c>
      <c r="C1666" s="2" t="s">
        <v>204</v>
      </c>
      <c r="D1666" s="2" t="s">
        <v>73</v>
      </c>
      <c r="E1666" s="4">
        <v>45225</v>
      </c>
    </row>
    <row r="1667" spans="1:5" x14ac:dyDescent="0.25">
      <c r="A1667" s="1" t="str">
        <f>"CEFFYL GWYN LTD"</f>
        <v>CEFFYL GWYN LTD</v>
      </c>
      <c r="B1667" t="str">
        <f>"13833847"</f>
        <v>13833847</v>
      </c>
      <c r="C1667" s="2" t="s">
        <v>204</v>
      </c>
      <c r="D1667" s="2" t="s">
        <v>73</v>
      </c>
      <c r="E1667" s="4">
        <v>45230</v>
      </c>
    </row>
    <row r="1668" spans="1:5" x14ac:dyDescent="0.25">
      <c r="A1668" s="1" t="str">
        <f>"NANNON LIMITED"</f>
        <v>NANNON LIMITED</v>
      </c>
      <c r="B1668" t="str">
        <f>"13135496"</f>
        <v>13135496</v>
      </c>
      <c r="C1668" s="2" t="s">
        <v>204</v>
      </c>
      <c r="D1668" s="2" t="s">
        <v>73</v>
      </c>
      <c r="E1668" s="4">
        <v>45239</v>
      </c>
    </row>
    <row r="1669" spans="1:5" x14ac:dyDescent="0.25">
      <c r="A1669" s="1" t="str">
        <f>"CHERISH CARE HOMES (WALES) LIMITED"</f>
        <v>CHERISH CARE HOMES (WALES) LIMITED</v>
      </c>
      <c r="B1669" t="str">
        <f>"04725458"</f>
        <v>04725458</v>
      </c>
      <c r="C1669" s="2" t="s">
        <v>204</v>
      </c>
      <c r="D1669" s="2" t="s">
        <v>73</v>
      </c>
      <c r="E1669" s="4">
        <v>45250</v>
      </c>
    </row>
    <row r="1670" spans="1:5" x14ac:dyDescent="0.25">
      <c r="A1670" s="1" t="s">
        <v>469</v>
      </c>
      <c r="B1670">
        <v>11676464</v>
      </c>
      <c r="C1670" s="2" t="s">
        <v>360</v>
      </c>
      <c r="D1670" s="2" t="s">
        <v>361</v>
      </c>
      <c r="E1670" s="4">
        <v>45229</v>
      </c>
    </row>
    <row r="1671" spans="1:5" x14ac:dyDescent="0.25">
      <c r="A1671" s="1" t="str">
        <f>"DVO CONSULTING LIMITED"</f>
        <v>DVO CONSULTING LIMITED</v>
      </c>
      <c r="B1671" t="str">
        <f>"10165828"</f>
        <v>10165828</v>
      </c>
      <c r="C1671" s="2" t="s">
        <v>360</v>
      </c>
      <c r="D1671" s="2" t="s">
        <v>361</v>
      </c>
      <c r="E1671" s="4">
        <v>45240</v>
      </c>
    </row>
    <row r="1672" spans="1:5" x14ac:dyDescent="0.25">
      <c r="A1672" s="1" t="str">
        <f>"NORTH SOUTH RENOVATIONS LTD"</f>
        <v>NORTH SOUTH RENOVATIONS LTD</v>
      </c>
      <c r="B1672" t="str">
        <f>"12252602"</f>
        <v>12252602</v>
      </c>
      <c r="C1672" s="2" t="s">
        <v>360</v>
      </c>
      <c r="D1672" s="2" t="s">
        <v>361</v>
      </c>
      <c r="E1672" s="4">
        <v>45251</v>
      </c>
    </row>
    <row r="1673" spans="1:5" x14ac:dyDescent="0.25">
      <c r="A1673" s="1" t="str">
        <f>"CHAVASSE APARTMENTS LIMITED"</f>
        <v>CHAVASSE APARTMENTS LIMITED</v>
      </c>
      <c r="B1673" t="str">
        <f>"13594282"</f>
        <v>13594282</v>
      </c>
      <c r="C1673" s="2" t="s">
        <v>231</v>
      </c>
      <c r="D1673" s="2" t="s">
        <v>88</v>
      </c>
      <c r="E1673" s="4">
        <v>45217</v>
      </c>
    </row>
    <row r="1674" spans="1:5" x14ac:dyDescent="0.25">
      <c r="A1674" s="1" t="str">
        <f>"MD PUB GROUP LTD"</f>
        <v>MD PUB GROUP LTD</v>
      </c>
      <c r="B1674" t="str">
        <f>"13486297"</f>
        <v>13486297</v>
      </c>
      <c r="C1674" s="2" t="s">
        <v>231</v>
      </c>
      <c r="D1674" s="2" t="s">
        <v>88</v>
      </c>
      <c r="E1674" s="4">
        <v>45223</v>
      </c>
    </row>
    <row r="1675" spans="1:5" x14ac:dyDescent="0.25">
      <c r="A1675" s="1" t="str">
        <f>"SOUTHEAST PUB GROUP LTD"</f>
        <v>SOUTHEAST PUB GROUP LTD</v>
      </c>
      <c r="B1675" t="str">
        <f>"13486180"</f>
        <v>13486180</v>
      </c>
      <c r="C1675" s="2" t="s">
        <v>231</v>
      </c>
      <c r="D1675" s="2" t="s">
        <v>88</v>
      </c>
      <c r="E1675" s="4">
        <v>45223</v>
      </c>
    </row>
    <row r="1676" spans="1:5" x14ac:dyDescent="0.25">
      <c r="A1676" s="1" t="str">
        <f>"KNIGHTSBRIDGE MEDIA GROUP LIMITED"</f>
        <v>KNIGHTSBRIDGE MEDIA GROUP LIMITED</v>
      </c>
      <c r="B1676" t="str">
        <f>"09321331"</f>
        <v>09321331</v>
      </c>
      <c r="C1676" s="2" t="s">
        <v>231</v>
      </c>
      <c r="D1676" s="2" t="s">
        <v>88</v>
      </c>
      <c r="E1676" s="4">
        <v>45229</v>
      </c>
    </row>
    <row r="1677" spans="1:5" x14ac:dyDescent="0.25">
      <c r="A1677" s="1" t="str">
        <f>"BLACKPOOL MX LIMITED"</f>
        <v>BLACKPOOL MX LIMITED</v>
      </c>
      <c r="B1677" t="str">
        <f>"11490649"</f>
        <v>11490649</v>
      </c>
      <c r="C1677" s="2" t="s">
        <v>231</v>
      </c>
      <c r="D1677" s="2" t="s">
        <v>88</v>
      </c>
      <c r="E1677" s="4">
        <v>45230</v>
      </c>
    </row>
    <row r="1678" spans="1:5" x14ac:dyDescent="0.25">
      <c r="A1678" s="1" t="str">
        <f>"MURRAY PROPERTIES (NW) LTD"</f>
        <v>MURRAY PROPERTIES (NW) LTD</v>
      </c>
      <c r="B1678" t="str">
        <f>"11631013"</f>
        <v>11631013</v>
      </c>
      <c r="C1678" s="2" t="s">
        <v>231</v>
      </c>
      <c r="D1678" s="2" t="s">
        <v>88</v>
      </c>
      <c r="E1678" s="4">
        <v>45230</v>
      </c>
    </row>
    <row r="1679" spans="1:5" x14ac:dyDescent="0.25">
      <c r="A1679" s="1" t="str">
        <f>"ELMHURST ENGINEERING LIMITED"</f>
        <v>ELMHURST ENGINEERING LIMITED</v>
      </c>
      <c r="B1679" t="str">
        <f>"03634261"</f>
        <v>03634261</v>
      </c>
      <c r="C1679" s="2" t="s">
        <v>231</v>
      </c>
      <c r="D1679" s="2" t="s">
        <v>88</v>
      </c>
      <c r="E1679" s="4">
        <v>45230</v>
      </c>
    </row>
    <row r="1680" spans="1:5" x14ac:dyDescent="0.25">
      <c r="A1680" s="1" t="str">
        <f>"ALLEN &amp; STONE LTD"</f>
        <v>ALLEN &amp; STONE LTD</v>
      </c>
      <c r="B1680" t="str">
        <f>"08992930"</f>
        <v>08992930</v>
      </c>
      <c r="C1680" s="2" t="s">
        <v>223</v>
      </c>
      <c r="D1680" s="2" t="s">
        <v>37</v>
      </c>
      <c r="E1680" s="4">
        <v>45226</v>
      </c>
    </row>
    <row r="1681" spans="1:5" x14ac:dyDescent="0.25">
      <c r="A1681" s="1" t="str">
        <f>"FOSSEWAY ENGINEERING SERVICES LIMITED"</f>
        <v>FOSSEWAY ENGINEERING SERVICES LIMITED</v>
      </c>
      <c r="B1681" t="str">
        <f>"06670322"</f>
        <v>06670322</v>
      </c>
      <c r="C1681" s="2" t="s">
        <v>223</v>
      </c>
      <c r="D1681" s="2" t="s">
        <v>37</v>
      </c>
      <c r="E1681" s="4">
        <v>45233</v>
      </c>
    </row>
    <row r="1682" spans="1:5" x14ac:dyDescent="0.25">
      <c r="A1682" s="1" t="str">
        <f>"GBG INTERNATIONAL HOLDING COMPANY LIMITED"</f>
        <v>GBG INTERNATIONAL HOLDING COMPANY LIMITED</v>
      </c>
      <c r="B1682" t="str">
        <f>"08819328"</f>
        <v>08819328</v>
      </c>
      <c r="C1682" s="2" t="s">
        <v>327</v>
      </c>
      <c r="D1682" s="2" t="s">
        <v>11</v>
      </c>
      <c r="E1682" s="4">
        <v>45238</v>
      </c>
    </row>
    <row r="1683" spans="1:5" x14ac:dyDescent="0.25">
      <c r="A1683" s="1" t="str">
        <f>"H CROW SHARED SERVICE CONSULTING LIMITED"</f>
        <v>H CROW SHARED SERVICE CONSULTING LIMITED</v>
      </c>
      <c r="B1683" t="str">
        <f>"10909566"</f>
        <v>10909566</v>
      </c>
      <c r="C1683" s="2" t="s">
        <v>608</v>
      </c>
      <c r="D1683" s="2" t="s">
        <v>209</v>
      </c>
      <c r="E1683" s="4">
        <v>45245</v>
      </c>
    </row>
    <row r="1684" spans="1:5" x14ac:dyDescent="0.25">
      <c r="A1684" s="1" t="s">
        <v>572</v>
      </c>
      <c r="B1684">
        <v>10336342</v>
      </c>
      <c r="C1684" s="2" t="s">
        <v>318</v>
      </c>
      <c r="D1684" s="2" t="s">
        <v>209</v>
      </c>
      <c r="E1684" s="4">
        <v>45226</v>
      </c>
    </row>
    <row r="1685" spans="1:5" x14ac:dyDescent="0.25">
      <c r="A1685" s="1" t="str">
        <f>"CARL KEITH SALONS LIMITED"</f>
        <v>CARL KEITH SALONS LIMITED</v>
      </c>
      <c r="B1685" t="str">
        <f>"03860224"</f>
        <v>03860224</v>
      </c>
      <c r="C1685" s="2" t="s">
        <v>318</v>
      </c>
      <c r="D1685" s="2" t="s">
        <v>299</v>
      </c>
      <c r="E1685" s="4">
        <v>45246</v>
      </c>
    </row>
    <row r="1686" spans="1:5" x14ac:dyDescent="0.25">
      <c r="A1686" s="1" t="str">
        <f>"MANSFIELD PJ LIMITED"</f>
        <v>MANSFIELD PJ LIMITED</v>
      </c>
      <c r="B1686" t="str">
        <f>"10445519"</f>
        <v>10445519</v>
      </c>
      <c r="C1686" s="2" t="s">
        <v>225</v>
      </c>
      <c r="D1686" s="2" t="s">
        <v>226</v>
      </c>
      <c r="E1686" s="4">
        <v>45243</v>
      </c>
    </row>
    <row r="1687" spans="1:5" x14ac:dyDescent="0.25">
      <c r="A1687" s="1" t="str">
        <f>"MPV &amp; SUV SOLUTIONS LTD"</f>
        <v>MPV &amp; SUV SOLUTIONS LTD</v>
      </c>
      <c r="B1687" t="str">
        <f>"11923065"</f>
        <v>11923065</v>
      </c>
      <c r="C1687" s="2" t="s">
        <v>225</v>
      </c>
      <c r="D1687" s="2" t="s">
        <v>226</v>
      </c>
      <c r="E1687" s="4">
        <v>45246</v>
      </c>
    </row>
    <row r="1688" spans="1:5" x14ac:dyDescent="0.25">
      <c r="A1688" s="1" t="str">
        <f>"CSE WIRE WICKETTS LIMITED"</f>
        <v>CSE WIRE WICKETTS LIMITED</v>
      </c>
      <c r="B1688" t="str">
        <f>"10499666"</f>
        <v>10499666</v>
      </c>
      <c r="C1688" s="2" t="s">
        <v>861</v>
      </c>
      <c r="D1688" s="2" t="s">
        <v>234</v>
      </c>
      <c r="E1688" s="4">
        <v>45254</v>
      </c>
    </row>
    <row r="1689" spans="1:5" x14ac:dyDescent="0.25">
      <c r="A1689" s="1" t="s">
        <v>511</v>
      </c>
      <c r="B1689">
        <v>7025201</v>
      </c>
      <c r="C1689" s="2" t="s">
        <v>233</v>
      </c>
      <c r="D1689" s="2" t="s">
        <v>367</v>
      </c>
      <c r="E1689" s="4">
        <v>45230</v>
      </c>
    </row>
    <row r="1690" spans="1:5" x14ac:dyDescent="0.25">
      <c r="A1690" s="1" t="s">
        <v>512</v>
      </c>
      <c r="B1690">
        <v>9634750</v>
      </c>
      <c r="C1690" s="2" t="s">
        <v>233</v>
      </c>
      <c r="D1690" s="2" t="s">
        <v>367</v>
      </c>
      <c r="E1690" s="4">
        <v>45231</v>
      </c>
    </row>
    <row r="1691" spans="1:5" x14ac:dyDescent="0.25">
      <c r="A1691" s="1" t="str">
        <f>"SORTD LTD"</f>
        <v>SORTD LTD</v>
      </c>
      <c r="B1691" t="str">
        <f>"10742221"</f>
        <v>10742221</v>
      </c>
      <c r="C1691" s="2" t="s">
        <v>239</v>
      </c>
      <c r="D1691" s="2" t="s">
        <v>78</v>
      </c>
      <c r="E1691" s="4">
        <v>45236</v>
      </c>
    </row>
    <row r="1692" spans="1:5" x14ac:dyDescent="0.25">
      <c r="A1692" s="1" t="str">
        <f>"BRAMBLES ESTATE AGENTS LIMITED"</f>
        <v>BRAMBLES ESTATE AGENTS LIMITED</v>
      </c>
      <c r="B1692" t="str">
        <f>"04570089"</f>
        <v>04570089</v>
      </c>
      <c r="C1692" s="2" t="s">
        <v>239</v>
      </c>
      <c r="D1692" s="2" t="s">
        <v>78</v>
      </c>
      <c r="E1692" s="4">
        <v>45237</v>
      </c>
    </row>
    <row r="1693" spans="1:5" x14ac:dyDescent="0.25">
      <c r="A1693" s="1" t="str">
        <f>"PQRARA223 LIMITED"</f>
        <v>PQRARA223 LIMITED</v>
      </c>
      <c r="B1693" t="str">
        <f>"09921472"</f>
        <v>09921472</v>
      </c>
      <c r="C1693" s="2" t="s">
        <v>239</v>
      </c>
      <c r="D1693" s="2" t="s">
        <v>78</v>
      </c>
      <c r="E1693" s="4">
        <v>45246</v>
      </c>
    </row>
    <row r="1694" spans="1:5" x14ac:dyDescent="0.25">
      <c r="A1694" s="1" t="s">
        <v>813</v>
      </c>
      <c r="B1694">
        <v>9202778</v>
      </c>
      <c r="C1694" s="2" t="s">
        <v>239</v>
      </c>
      <c r="D1694" s="2" t="s">
        <v>78</v>
      </c>
      <c r="E1694" s="4">
        <v>45254</v>
      </c>
    </row>
    <row r="1695" spans="1:5" x14ac:dyDescent="0.25">
      <c r="A1695" s="1" t="str">
        <f>"PANACEA SYSTEMS &amp; TECHNOLOGIES LTD."</f>
        <v>PANACEA SYSTEMS &amp; TECHNOLOGIES LTD.</v>
      </c>
      <c r="B1695" t="str">
        <f>"10938663"</f>
        <v>10938663</v>
      </c>
      <c r="C1695" s="2" t="s">
        <v>149</v>
      </c>
      <c r="D1695" s="2" t="s">
        <v>150</v>
      </c>
      <c r="E1695" s="4">
        <v>45223</v>
      </c>
    </row>
    <row r="1696" spans="1:5" x14ac:dyDescent="0.25">
      <c r="A1696" s="1" t="s">
        <v>408</v>
      </c>
      <c r="B1696">
        <v>5951785</v>
      </c>
      <c r="C1696" s="2" t="s">
        <v>149</v>
      </c>
      <c r="D1696" s="2" t="s">
        <v>150</v>
      </c>
      <c r="E1696" s="4">
        <v>45224</v>
      </c>
    </row>
    <row r="1697" spans="1:5" x14ac:dyDescent="0.25">
      <c r="A1697" s="1" t="s">
        <v>456</v>
      </c>
      <c r="B1697">
        <v>8819796</v>
      </c>
      <c r="C1697" s="2" t="s">
        <v>149</v>
      </c>
      <c r="D1697" s="2" t="s">
        <v>150</v>
      </c>
      <c r="E1697" s="4">
        <v>45230</v>
      </c>
    </row>
    <row r="1698" spans="1:5" x14ac:dyDescent="0.25">
      <c r="A1698" s="1" t="str">
        <f>"SAPPHIRE DCO EIGHTEEN LIMITED"</f>
        <v>SAPPHIRE DCO EIGHTEEN LIMITED</v>
      </c>
      <c r="B1698" t="str">
        <f>"00749735"</f>
        <v>00749735</v>
      </c>
      <c r="C1698" s="2" t="s">
        <v>149</v>
      </c>
      <c r="D1698" s="2" t="s">
        <v>150</v>
      </c>
      <c r="E1698" s="4">
        <v>45236</v>
      </c>
    </row>
    <row r="1699" spans="1:5" x14ac:dyDescent="0.25">
      <c r="A1699" s="1" t="str">
        <f>"SAPPHIRE DCO ELEVEN LIMITED"</f>
        <v>SAPPHIRE DCO ELEVEN LIMITED</v>
      </c>
      <c r="B1699" t="str">
        <f>"01388510"</f>
        <v>01388510</v>
      </c>
      <c r="C1699" s="2" t="s">
        <v>149</v>
      </c>
      <c r="D1699" s="2" t="s">
        <v>150</v>
      </c>
      <c r="E1699" s="4">
        <v>45236</v>
      </c>
    </row>
    <row r="1700" spans="1:5" x14ac:dyDescent="0.25">
      <c r="A1700" s="1" t="str">
        <f>"SAPPHIRE DCO FIFTEEN LIMITED"</f>
        <v>SAPPHIRE DCO FIFTEEN LIMITED</v>
      </c>
      <c r="B1700" t="str">
        <f>"00190363"</f>
        <v>00190363</v>
      </c>
      <c r="C1700" s="2" t="s">
        <v>149</v>
      </c>
      <c r="D1700" s="2" t="s">
        <v>150</v>
      </c>
      <c r="E1700" s="4">
        <v>45236</v>
      </c>
    </row>
    <row r="1701" spans="1:5" x14ac:dyDescent="0.25">
      <c r="A1701" s="1" t="str">
        <f>"SAPPHIRE DCO FOUR LIMITED"</f>
        <v>SAPPHIRE DCO FOUR LIMITED</v>
      </c>
      <c r="B1701" t="str">
        <f>"05948136"</f>
        <v>05948136</v>
      </c>
      <c r="C1701" s="2" t="s">
        <v>149</v>
      </c>
      <c r="D1701" s="2" t="s">
        <v>150</v>
      </c>
      <c r="E1701" s="4">
        <v>45236</v>
      </c>
    </row>
    <row r="1702" spans="1:5" x14ac:dyDescent="0.25">
      <c r="A1702" s="1" t="str">
        <f>"SAPPHIRE DCO NINETEEN LIMITED"</f>
        <v>SAPPHIRE DCO NINETEEN LIMITED</v>
      </c>
      <c r="B1702" t="str">
        <f>"00281406"</f>
        <v>00281406</v>
      </c>
      <c r="C1702" s="2" t="s">
        <v>149</v>
      </c>
      <c r="D1702" s="2" t="s">
        <v>150</v>
      </c>
      <c r="E1702" s="4">
        <v>45236</v>
      </c>
    </row>
    <row r="1703" spans="1:5" x14ac:dyDescent="0.25">
      <c r="A1703" s="1" t="str">
        <f>"SAPPHIRE DCO SIXTEEN LIMITED"</f>
        <v>SAPPHIRE DCO SIXTEEN LIMITED</v>
      </c>
      <c r="B1703" t="str">
        <f>"00228286"</f>
        <v>00228286</v>
      </c>
      <c r="C1703" s="2" t="s">
        <v>149</v>
      </c>
      <c r="D1703" s="2" t="s">
        <v>150</v>
      </c>
      <c r="E1703" s="4">
        <v>45236</v>
      </c>
    </row>
    <row r="1704" spans="1:5" x14ac:dyDescent="0.25">
      <c r="A1704" s="1" t="str">
        <f>"SAPPHIRE DCO SEVEN LIMITED"</f>
        <v>SAPPHIRE DCO SEVEN LIMITED</v>
      </c>
      <c r="B1704" t="str">
        <f>"03907947"</f>
        <v>03907947</v>
      </c>
      <c r="C1704" s="2" t="s">
        <v>149</v>
      </c>
      <c r="D1704" s="2" t="s">
        <v>150</v>
      </c>
      <c r="E1704" s="4">
        <v>45236</v>
      </c>
    </row>
    <row r="1705" spans="1:5" x14ac:dyDescent="0.25">
      <c r="A1705" s="1" t="str">
        <f>"SAPPHIRE DCO THREE LIMITED"</f>
        <v>SAPPHIRE DCO THREE LIMITED</v>
      </c>
      <c r="B1705" t="str">
        <f>"01340519"</f>
        <v>01340519</v>
      </c>
      <c r="C1705" s="2" t="s">
        <v>149</v>
      </c>
      <c r="D1705" s="2" t="s">
        <v>150</v>
      </c>
      <c r="E1705" s="4">
        <v>45236</v>
      </c>
    </row>
    <row r="1706" spans="1:5" x14ac:dyDescent="0.25">
      <c r="A1706" s="1" t="str">
        <f>"GARAGE AX LTD"</f>
        <v>GARAGE AX LTD</v>
      </c>
      <c r="B1706" t="str">
        <f>"11966141"</f>
        <v>11966141</v>
      </c>
      <c r="C1706" s="2" t="s">
        <v>149</v>
      </c>
      <c r="D1706" s="2" t="s">
        <v>150</v>
      </c>
      <c r="E1706" s="4">
        <v>45237</v>
      </c>
    </row>
    <row r="1707" spans="1:5" x14ac:dyDescent="0.25">
      <c r="A1707" s="1" t="s">
        <v>744</v>
      </c>
      <c r="B1707">
        <v>12083908</v>
      </c>
      <c r="C1707" s="2" t="s">
        <v>149</v>
      </c>
      <c r="D1707" s="2" t="s">
        <v>150</v>
      </c>
      <c r="E1707" s="4">
        <v>45251</v>
      </c>
    </row>
    <row r="1708" spans="1:5" x14ac:dyDescent="0.25">
      <c r="A1708" s="1" t="s">
        <v>568</v>
      </c>
      <c r="B1708">
        <v>12299640</v>
      </c>
      <c r="C1708" s="2" t="s">
        <v>149</v>
      </c>
      <c r="D1708" s="2" t="s">
        <v>230</v>
      </c>
      <c r="E1708" s="4">
        <v>45217</v>
      </c>
    </row>
    <row r="1709" spans="1:5" x14ac:dyDescent="0.25">
      <c r="A1709" s="1" t="str">
        <f>"FINE FOOD TRADERS LIMITED"</f>
        <v>FINE FOOD TRADERS LIMITED</v>
      </c>
      <c r="B1709" t="str">
        <f>"11629143"</f>
        <v>11629143</v>
      </c>
      <c r="C1709" s="2" t="s">
        <v>149</v>
      </c>
      <c r="D1709" s="2" t="s">
        <v>230</v>
      </c>
      <c r="E1709" s="4">
        <v>45222</v>
      </c>
    </row>
    <row r="1710" spans="1:5" x14ac:dyDescent="0.25">
      <c r="A1710" s="1" t="str">
        <f>"5K FITNESS LTD"</f>
        <v>5K FITNESS LTD</v>
      </c>
      <c r="B1710" t="str">
        <f>"07101315"</f>
        <v>07101315</v>
      </c>
      <c r="C1710" s="2" t="s">
        <v>149</v>
      </c>
      <c r="D1710" s="2" t="s">
        <v>230</v>
      </c>
      <c r="E1710" s="4">
        <v>45229</v>
      </c>
    </row>
    <row r="1711" spans="1:5" x14ac:dyDescent="0.25">
      <c r="A1711" s="1" t="str">
        <f>"A1 STOCKTON LTD"</f>
        <v>A1 STOCKTON LTD</v>
      </c>
      <c r="B1711" t="str">
        <f>"08254450"</f>
        <v>08254450</v>
      </c>
      <c r="C1711" s="2" t="s">
        <v>149</v>
      </c>
      <c r="D1711" s="2" t="s">
        <v>230</v>
      </c>
      <c r="E1711" s="4">
        <v>45229</v>
      </c>
    </row>
    <row r="1712" spans="1:5" x14ac:dyDescent="0.25">
      <c r="A1712" s="1" t="str">
        <f>"ABBEY CONSTRUCTION (KENT) LIMITED"</f>
        <v>ABBEY CONSTRUCTION (KENT) LIMITED</v>
      </c>
      <c r="B1712" t="str">
        <f>"06226417"</f>
        <v>06226417</v>
      </c>
      <c r="C1712" s="2" t="s">
        <v>149</v>
      </c>
      <c r="D1712" s="2" t="s">
        <v>230</v>
      </c>
      <c r="E1712" s="4">
        <v>45229</v>
      </c>
    </row>
    <row r="1713" spans="1:5" x14ac:dyDescent="0.25">
      <c r="A1713" s="1" t="str">
        <f>"BG HAMPSHIRE LTD"</f>
        <v>BG HAMPSHIRE LTD</v>
      </c>
      <c r="B1713" t="str">
        <f>"10406468"</f>
        <v>10406468</v>
      </c>
      <c r="C1713" s="2" t="s">
        <v>149</v>
      </c>
      <c r="D1713" s="2" t="s">
        <v>230</v>
      </c>
      <c r="E1713" s="4">
        <v>45229</v>
      </c>
    </row>
    <row r="1714" spans="1:5" x14ac:dyDescent="0.25">
      <c r="A1714" s="1" t="str">
        <f>"BOSTON ACTIVE LTD"</f>
        <v>BOSTON ACTIVE LTD</v>
      </c>
      <c r="B1714" t="str">
        <f>"08663401"</f>
        <v>08663401</v>
      </c>
      <c r="C1714" s="2" t="s">
        <v>149</v>
      </c>
      <c r="D1714" s="2" t="s">
        <v>230</v>
      </c>
      <c r="E1714" s="4">
        <v>45229</v>
      </c>
    </row>
    <row r="1715" spans="1:5" x14ac:dyDescent="0.25">
      <c r="A1715" s="1" t="str">
        <f>"NIBRAS TRADING LTD"</f>
        <v>NIBRAS TRADING LTD</v>
      </c>
      <c r="B1715" t="str">
        <f>"12306957"</f>
        <v>12306957</v>
      </c>
      <c r="C1715" s="2" t="s">
        <v>149</v>
      </c>
      <c r="D1715" s="2" t="s">
        <v>230</v>
      </c>
      <c r="E1715" s="4">
        <v>45230</v>
      </c>
    </row>
    <row r="1716" spans="1:5" x14ac:dyDescent="0.25">
      <c r="A1716" s="1" t="str">
        <f>"CDB FACILITIES LTD"</f>
        <v>CDB FACILITIES LTD</v>
      </c>
      <c r="B1716" t="str">
        <f>"14339637"</f>
        <v>14339637</v>
      </c>
      <c r="C1716" s="2" t="s">
        <v>149</v>
      </c>
      <c r="D1716" s="2" t="s">
        <v>230</v>
      </c>
      <c r="E1716" s="4">
        <v>45231</v>
      </c>
    </row>
    <row r="1717" spans="1:5" x14ac:dyDescent="0.25">
      <c r="A1717" s="1" t="s">
        <v>732</v>
      </c>
      <c r="B1717" t="s">
        <v>733</v>
      </c>
      <c r="C1717" s="2" t="s">
        <v>149</v>
      </c>
      <c r="D1717" s="2" t="s">
        <v>230</v>
      </c>
      <c r="E1717" s="4">
        <v>45245</v>
      </c>
    </row>
    <row r="1718" spans="1:5" x14ac:dyDescent="0.25">
      <c r="A1718" s="1" t="str">
        <f>"ASCENTIS MEDICAL SERVICES LTD"</f>
        <v>ASCENTIS MEDICAL SERVICES LTD</v>
      </c>
      <c r="B1718" t="str">
        <f>"08923698"</f>
        <v>08923698</v>
      </c>
      <c r="C1718" s="2" t="s">
        <v>90</v>
      </c>
      <c r="D1718" s="2" t="s">
        <v>37</v>
      </c>
      <c r="E1718" s="4">
        <v>45226</v>
      </c>
    </row>
    <row r="1719" spans="1:5" x14ac:dyDescent="0.25">
      <c r="A1719" s="1" t="str">
        <f>"MCFARLANDS LIMITED"</f>
        <v>MCFARLANDS LIMITED</v>
      </c>
      <c r="B1719" t="str">
        <f>"05586322"</f>
        <v>05586322</v>
      </c>
      <c r="C1719" s="2" t="s">
        <v>90</v>
      </c>
      <c r="D1719" s="2" t="s">
        <v>37</v>
      </c>
      <c r="E1719" s="4">
        <v>45252</v>
      </c>
    </row>
    <row r="1720" spans="1:5" x14ac:dyDescent="0.25">
      <c r="A1720" s="1" t="str">
        <f>"ADRIAN TURNER COMPOSITES LIMITED"</f>
        <v>ADRIAN TURNER COMPOSITES LIMITED</v>
      </c>
      <c r="B1720" t="str">
        <f>"08668673"</f>
        <v>08668673</v>
      </c>
      <c r="C1720" s="2" t="s">
        <v>90</v>
      </c>
      <c r="D1720" s="2" t="s">
        <v>37</v>
      </c>
      <c r="E1720" s="4">
        <v>45252</v>
      </c>
    </row>
    <row r="1721" spans="1:5" x14ac:dyDescent="0.25">
      <c r="A1721" s="1" t="str">
        <f>"EREPAIRS LIMITED"</f>
        <v>EREPAIRS LIMITED</v>
      </c>
      <c r="B1721" t="str">
        <f>"10513426"</f>
        <v>10513426</v>
      </c>
      <c r="C1721" s="2" t="s">
        <v>90</v>
      </c>
      <c r="D1721" s="2" t="s">
        <v>37</v>
      </c>
      <c r="E1721" s="4">
        <v>45252</v>
      </c>
    </row>
    <row r="1722" spans="1:5" x14ac:dyDescent="0.25">
      <c r="A1722" s="1" t="str">
        <f>"OMD PLASTERING &amp; CARPENTRY LIMITED"</f>
        <v>OMD PLASTERING &amp; CARPENTRY LIMITED</v>
      </c>
      <c r="B1722" t="str">
        <f>"14076837"</f>
        <v>14076837</v>
      </c>
      <c r="C1722" s="2" t="s">
        <v>90</v>
      </c>
      <c r="D1722" s="2" t="s">
        <v>37</v>
      </c>
      <c r="E1722" s="4">
        <v>45254</v>
      </c>
    </row>
    <row r="1723" spans="1:5" x14ac:dyDescent="0.25">
      <c r="A1723" s="1" t="s">
        <v>455</v>
      </c>
      <c r="B1723">
        <v>6965217</v>
      </c>
      <c r="C1723" s="2" t="s">
        <v>133</v>
      </c>
      <c r="D1723" s="2" t="s">
        <v>61</v>
      </c>
      <c r="E1723" s="4">
        <v>45218</v>
      </c>
    </row>
    <row r="1724" spans="1:5" x14ac:dyDescent="0.25">
      <c r="A1724" s="1" t="s">
        <v>399</v>
      </c>
      <c r="B1724">
        <v>12317652</v>
      </c>
      <c r="C1724" s="2" t="s">
        <v>133</v>
      </c>
      <c r="D1724" s="2" t="s">
        <v>61</v>
      </c>
      <c r="E1724" s="4">
        <v>45224</v>
      </c>
    </row>
    <row r="1725" spans="1:5" x14ac:dyDescent="0.25">
      <c r="A1725" s="1" t="s">
        <v>470</v>
      </c>
      <c r="B1725">
        <v>12092551</v>
      </c>
      <c r="C1725" s="2" t="s">
        <v>133</v>
      </c>
      <c r="D1725" s="2" t="s">
        <v>61</v>
      </c>
      <c r="E1725" s="4">
        <v>45225</v>
      </c>
    </row>
    <row r="1726" spans="1:5" x14ac:dyDescent="0.25">
      <c r="A1726" s="1" t="str">
        <f>"BEES KNEEZ LTD"</f>
        <v>BEES KNEEZ LTD</v>
      </c>
      <c r="B1726" t="str">
        <f>"11257366"</f>
        <v>11257366</v>
      </c>
      <c r="C1726" s="2" t="s">
        <v>133</v>
      </c>
      <c r="D1726" s="2" t="s">
        <v>61</v>
      </c>
      <c r="E1726" s="4">
        <v>45232</v>
      </c>
    </row>
    <row r="1727" spans="1:5" x14ac:dyDescent="0.25">
      <c r="A1727" s="1" t="str">
        <f>"BIG BISON PRODUCTIONS LTD"</f>
        <v>BIG BISON PRODUCTIONS LTD</v>
      </c>
      <c r="B1727" t="str">
        <f>"12988446"</f>
        <v>12988446</v>
      </c>
      <c r="C1727" s="2" t="s">
        <v>133</v>
      </c>
      <c r="D1727" s="2" t="s">
        <v>61</v>
      </c>
      <c r="E1727" s="4">
        <v>45237</v>
      </c>
    </row>
    <row r="1728" spans="1:5" x14ac:dyDescent="0.25">
      <c r="A1728" s="1" t="str">
        <f>"JACKS HARDWARE SUPPLIES LTD"</f>
        <v>JACKS HARDWARE SUPPLIES LTD</v>
      </c>
      <c r="B1728" t="str">
        <f>"07453146"</f>
        <v>07453146</v>
      </c>
      <c r="C1728" s="2" t="s">
        <v>133</v>
      </c>
      <c r="D1728" s="2" t="s">
        <v>61</v>
      </c>
      <c r="E1728" s="4">
        <v>45237</v>
      </c>
    </row>
    <row r="1729" spans="1:5" x14ac:dyDescent="0.25">
      <c r="A1729" s="1" t="str">
        <f>"OFFICINA COPPOLA LIMITED"</f>
        <v>OFFICINA COPPOLA LIMITED</v>
      </c>
      <c r="B1729" t="str">
        <f>"05798064"</f>
        <v>05798064</v>
      </c>
      <c r="C1729" s="2" t="s">
        <v>133</v>
      </c>
      <c r="D1729" s="2" t="s">
        <v>61</v>
      </c>
      <c r="E1729" s="4">
        <v>45238</v>
      </c>
    </row>
    <row r="1730" spans="1:5" x14ac:dyDescent="0.25">
      <c r="A1730" s="1" t="str">
        <f>"WINGATE HOMES LIMITED"</f>
        <v>WINGATE HOMES LIMITED</v>
      </c>
      <c r="B1730" t="str">
        <f>"11723463"</f>
        <v>11723463</v>
      </c>
      <c r="C1730" s="2" t="s">
        <v>133</v>
      </c>
      <c r="D1730" s="2" t="s">
        <v>61</v>
      </c>
      <c r="E1730" s="4">
        <v>45243</v>
      </c>
    </row>
    <row r="1731" spans="1:5" x14ac:dyDescent="0.25">
      <c r="A1731" s="1" t="s">
        <v>836</v>
      </c>
      <c r="B1731">
        <v>6596657</v>
      </c>
      <c r="C1731" s="2" t="s">
        <v>133</v>
      </c>
      <c r="D1731" s="2" t="s">
        <v>61</v>
      </c>
      <c r="E1731" s="4">
        <v>45253</v>
      </c>
    </row>
    <row r="1732" spans="1:5" x14ac:dyDescent="0.25">
      <c r="A1732" s="1" t="str">
        <f>"COCONUT CARESS &amp; IMPORTS LIMITED"</f>
        <v>COCONUT CARESS &amp; IMPORTS LIMITED</v>
      </c>
      <c r="B1732" t="str">
        <f>"12214834"</f>
        <v>12214834</v>
      </c>
      <c r="C1732" s="2" t="s">
        <v>133</v>
      </c>
      <c r="D1732" s="2" t="s">
        <v>61</v>
      </c>
      <c r="E1732" s="4">
        <v>45253</v>
      </c>
    </row>
    <row r="1733" spans="1:5" x14ac:dyDescent="0.25">
      <c r="A1733" s="1" t="s">
        <v>579</v>
      </c>
      <c r="B1733">
        <v>5889776</v>
      </c>
      <c r="C1733" s="2" t="s">
        <v>182</v>
      </c>
      <c r="D1733" s="2" t="s">
        <v>183</v>
      </c>
      <c r="E1733" s="4">
        <v>45223</v>
      </c>
    </row>
    <row r="1734" spans="1:5" x14ac:dyDescent="0.25">
      <c r="A1734" s="1" t="str">
        <f>"ENSAFE CONSULTANTS LIMITED"</f>
        <v>ENSAFE CONSULTANTS LIMITED</v>
      </c>
      <c r="B1734" t="str">
        <f>"09903924"</f>
        <v>09903924</v>
      </c>
      <c r="C1734" s="2" t="s">
        <v>182</v>
      </c>
      <c r="D1734" s="2" t="s">
        <v>183</v>
      </c>
      <c r="E1734" s="4">
        <v>45238</v>
      </c>
    </row>
    <row r="1735" spans="1:5" x14ac:dyDescent="0.25">
      <c r="A1735" s="1" t="str">
        <f>"VERULAM WINDOWS LTD"</f>
        <v>VERULAM WINDOWS LTD</v>
      </c>
      <c r="B1735" t="str">
        <f>"12539828"</f>
        <v>12539828</v>
      </c>
      <c r="C1735" s="2" t="s">
        <v>182</v>
      </c>
      <c r="D1735" s="2" t="s">
        <v>183</v>
      </c>
      <c r="E1735" s="4">
        <v>45250</v>
      </c>
    </row>
    <row r="1736" spans="1:5" x14ac:dyDescent="0.25">
      <c r="A1736" s="1" t="str">
        <f>"ARSHITH CONSULTANCY SERVICES LTD"</f>
        <v>ARSHITH CONSULTANCY SERVICES LTD</v>
      </c>
      <c r="B1736" t="str">
        <f>"07774222"</f>
        <v>07774222</v>
      </c>
      <c r="C1736" s="2" t="s">
        <v>214</v>
      </c>
      <c r="D1736" s="2" t="s">
        <v>7</v>
      </c>
      <c r="E1736" s="4">
        <v>45225</v>
      </c>
    </row>
    <row r="1737" spans="1:5" x14ac:dyDescent="0.25">
      <c r="A1737" s="1" t="str">
        <f>"PLANTATION COFFEE LTD"</f>
        <v>PLANTATION COFFEE LTD</v>
      </c>
      <c r="B1737" t="str">
        <f>"03138975"</f>
        <v>03138975</v>
      </c>
      <c r="C1737" s="2" t="s">
        <v>214</v>
      </c>
      <c r="D1737" s="2" t="s">
        <v>7</v>
      </c>
      <c r="E1737" s="4">
        <v>45225</v>
      </c>
    </row>
    <row r="1738" spans="1:5" x14ac:dyDescent="0.25">
      <c r="A1738" s="1" t="s">
        <v>785</v>
      </c>
      <c r="B1738" t="s">
        <v>786</v>
      </c>
      <c r="C1738" s="2" t="s">
        <v>214</v>
      </c>
      <c r="D1738" s="2" t="s">
        <v>7</v>
      </c>
      <c r="E1738" s="4">
        <v>45237</v>
      </c>
    </row>
    <row r="1739" spans="1:5" x14ac:dyDescent="0.25">
      <c r="A1739" s="1" t="str">
        <f>"RHM TECHNOLOGY LTD"</f>
        <v>RHM TECHNOLOGY LTD</v>
      </c>
      <c r="B1739" t="str">
        <f>"11790706"</f>
        <v>11790706</v>
      </c>
      <c r="C1739" s="2" t="s">
        <v>214</v>
      </c>
      <c r="D1739" s="2" t="s">
        <v>7</v>
      </c>
      <c r="E1739" s="4">
        <v>45239</v>
      </c>
    </row>
    <row r="1740" spans="1:5" x14ac:dyDescent="0.25">
      <c r="A1740" s="1" t="str">
        <f>"DRINKS 4 LESS (UK) LIMITED"</f>
        <v>DRINKS 4 LESS (UK) LIMITED</v>
      </c>
      <c r="B1740" t="str">
        <f>"07761440"</f>
        <v>07761440</v>
      </c>
      <c r="C1740" s="2" t="s">
        <v>214</v>
      </c>
      <c r="D1740" s="2" t="s">
        <v>7</v>
      </c>
      <c r="E1740" s="4">
        <v>45246</v>
      </c>
    </row>
    <row r="1741" spans="1:5" x14ac:dyDescent="0.25">
      <c r="A1741" s="1" t="str">
        <f>"ONE STERLING LIMITED"</f>
        <v>ONE STERLING LIMITED</v>
      </c>
      <c r="B1741" t="str">
        <f>"09866952"</f>
        <v>09866952</v>
      </c>
      <c r="C1741" s="2" t="s">
        <v>214</v>
      </c>
      <c r="D1741" s="2" t="s">
        <v>7</v>
      </c>
      <c r="E1741" s="4">
        <v>45246</v>
      </c>
    </row>
    <row r="1742" spans="1:5" x14ac:dyDescent="0.25">
      <c r="A1742" s="1" t="str">
        <f>"STC CONSULTANTS LTD."</f>
        <v>STC CONSULTANTS LTD.</v>
      </c>
      <c r="B1742" t="str">
        <f>"03718446"</f>
        <v>03718446</v>
      </c>
      <c r="C1742" s="2" t="s">
        <v>214</v>
      </c>
      <c r="D1742" s="2" t="s">
        <v>7</v>
      </c>
      <c r="E1742" s="4">
        <v>45246</v>
      </c>
    </row>
    <row r="1743" spans="1:5" x14ac:dyDescent="0.25">
      <c r="A1743" s="1" t="str">
        <f>"BARTLETTS WHOLESALE LTD"</f>
        <v>BARTLETTS WHOLESALE LTD</v>
      </c>
      <c r="B1743" t="str">
        <f>"10211003"</f>
        <v>10211003</v>
      </c>
      <c r="C1743" s="2" t="s">
        <v>214</v>
      </c>
      <c r="D1743" s="2" t="s">
        <v>7</v>
      </c>
      <c r="E1743" s="4">
        <v>45250</v>
      </c>
    </row>
    <row r="1744" spans="1:5" x14ac:dyDescent="0.25">
      <c r="A1744" s="1" t="str">
        <f>"TEIGN CELLARS LTD."</f>
        <v>TEIGN CELLARS LTD.</v>
      </c>
      <c r="B1744" t="str">
        <f>"08477608"</f>
        <v>08477608</v>
      </c>
      <c r="C1744" s="2" t="s">
        <v>210</v>
      </c>
      <c r="D1744" s="2" t="s">
        <v>167</v>
      </c>
      <c r="E1744" s="4">
        <v>45230</v>
      </c>
    </row>
    <row r="1745" spans="1:5" x14ac:dyDescent="0.25">
      <c r="A1745" s="1" t="str">
        <f>"DPG PROFESSIONAL SERVICES LTD"</f>
        <v>DPG PROFESSIONAL SERVICES LTD</v>
      </c>
      <c r="B1745" t="str">
        <f>"13435544"</f>
        <v>13435544</v>
      </c>
      <c r="C1745" s="2" t="s">
        <v>210</v>
      </c>
      <c r="D1745" s="2" t="s">
        <v>167</v>
      </c>
      <c r="E1745" s="4">
        <v>45237</v>
      </c>
    </row>
    <row r="1746" spans="1:5" x14ac:dyDescent="0.25">
      <c r="A1746" s="1" t="str">
        <f>"COLLINS CAPITAL ADVISORS LIMITED"</f>
        <v>COLLINS CAPITAL ADVISORS LIMITED</v>
      </c>
      <c r="B1746" t="str">
        <f>"11612876"</f>
        <v>11612876</v>
      </c>
      <c r="C1746" s="2" t="s">
        <v>210</v>
      </c>
      <c r="D1746" s="2" t="s">
        <v>167</v>
      </c>
      <c r="E1746" s="4">
        <v>45251</v>
      </c>
    </row>
    <row r="1747" spans="1:5" x14ac:dyDescent="0.25">
      <c r="A1747" s="1" t="str">
        <f>"LINDSTRAND TECHNOLOGIES LTD"</f>
        <v>LINDSTRAND TECHNOLOGIES LTD</v>
      </c>
      <c r="B1747" t="str">
        <f>"02625479"</f>
        <v>02625479</v>
      </c>
      <c r="C1747" s="2" t="s">
        <v>200</v>
      </c>
      <c r="D1747" s="2" t="s">
        <v>201</v>
      </c>
      <c r="E1747" s="4">
        <v>45239</v>
      </c>
    </row>
    <row r="1748" spans="1:5" x14ac:dyDescent="0.25">
      <c r="A1748" s="1" t="str">
        <f>"HOPE INITIATIVES (SHREWSBURY)"</f>
        <v>HOPE INITIATIVES (SHREWSBURY)</v>
      </c>
      <c r="B1748" t="str">
        <f>"07732219"</f>
        <v>07732219</v>
      </c>
      <c r="C1748" s="2" t="s">
        <v>200</v>
      </c>
      <c r="D1748" s="2" t="s">
        <v>201</v>
      </c>
      <c r="E1748" s="4">
        <v>45244</v>
      </c>
    </row>
    <row r="1749" spans="1:5" x14ac:dyDescent="0.25">
      <c r="A1749" s="1" t="str">
        <f>"MAMEX FARMS LIMITED"</f>
        <v>MAMEX FARMS LIMITED</v>
      </c>
      <c r="B1749" t="str">
        <f>"05315534"</f>
        <v>05315534</v>
      </c>
      <c r="C1749" s="2" t="s">
        <v>200</v>
      </c>
      <c r="D1749" s="2" t="s">
        <v>201</v>
      </c>
      <c r="E1749" s="4">
        <v>45247</v>
      </c>
    </row>
    <row r="1750" spans="1:5" x14ac:dyDescent="0.25">
      <c r="A1750" s="1" t="s">
        <v>830</v>
      </c>
      <c r="B1750">
        <v>5823907</v>
      </c>
      <c r="C1750" s="2" t="s">
        <v>200</v>
      </c>
      <c r="D1750" s="2" t="s">
        <v>201</v>
      </c>
      <c r="E1750" s="4">
        <v>45254</v>
      </c>
    </row>
    <row r="1751" spans="1:5" x14ac:dyDescent="0.25">
      <c r="A1751" s="1" t="str">
        <f>"CIRCULAR SYSTEMS LIMITED"</f>
        <v>CIRCULAR SYSTEMS LIMITED</v>
      </c>
      <c r="B1751" t="str">
        <f>"12059626"</f>
        <v>12059626</v>
      </c>
      <c r="C1751" s="2" t="s">
        <v>607</v>
      </c>
      <c r="D1751" s="2" t="s">
        <v>75</v>
      </c>
      <c r="E1751" s="4">
        <v>45243</v>
      </c>
    </row>
    <row r="1752" spans="1:5" x14ac:dyDescent="0.25">
      <c r="A1752" s="1" t="str">
        <f>"ILFRACOMBE TOURIST INFORMATION CENTRE"</f>
        <v>ILFRACOMBE TOURIST INFORMATION CENTRE</v>
      </c>
      <c r="B1752" t="str">
        <f>"08328833"</f>
        <v>08328833</v>
      </c>
      <c r="C1752" s="2" t="s">
        <v>607</v>
      </c>
      <c r="D1752" s="2" t="s">
        <v>75</v>
      </c>
      <c r="E1752" s="4">
        <v>45252</v>
      </c>
    </row>
    <row r="1753" spans="1:5" x14ac:dyDescent="0.25">
      <c r="A1753" s="1" t="str">
        <f>"SHARPE MILLER ELECTRICAL LIMITED"</f>
        <v>SHARPE MILLER ELECTRICAL LIMITED</v>
      </c>
      <c r="B1753" t="str">
        <f>"11054989"</f>
        <v>11054989</v>
      </c>
      <c r="C1753" s="2" t="s">
        <v>271</v>
      </c>
      <c r="D1753" s="2" t="s">
        <v>272</v>
      </c>
      <c r="E1753" s="4">
        <v>45222</v>
      </c>
    </row>
    <row r="1754" spans="1:5" x14ac:dyDescent="0.25">
      <c r="A1754" s="1" t="str">
        <f>"BIG YELLOW PLANT TRAINING LIMITED"</f>
        <v>BIG YELLOW PLANT TRAINING LIMITED</v>
      </c>
      <c r="B1754" t="str">
        <f>"08092619"</f>
        <v>08092619</v>
      </c>
      <c r="C1754" s="2" t="s">
        <v>271</v>
      </c>
      <c r="D1754" s="2" t="s">
        <v>272</v>
      </c>
      <c r="E1754" s="4">
        <v>45224</v>
      </c>
    </row>
    <row r="1755" spans="1:5" x14ac:dyDescent="0.25">
      <c r="A1755" s="1" t="str">
        <f>"SIPS PANEL TECHNOLOGIES (UK) LIMITED"</f>
        <v>SIPS PANEL TECHNOLOGIES (UK) LIMITED</v>
      </c>
      <c r="B1755" t="str">
        <f>"12272672"</f>
        <v>12272672</v>
      </c>
      <c r="C1755" s="2" t="s">
        <v>271</v>
      </c>
      <c r="D1755" s="2" t="s">
        <v>272</v>
      </c>
      <c r="E1755" s="4">
        <v>45239</v>
      </c>
    </row>
    <row r="1756" spans="1:5" x14ac:dyDescent="0.25">
      <c r="A1756" s="1" t="str">
        <f>"BEST SERVICE (EUROPE) LIMITED"</f>
        <v>BEST SERVICE (EUROPE) LIMITED</v>
      </c>
      <c r="B1756" t="str">
        <f>"04342873"</f>
        <v>04342873</v>
      </c>
      <c r="C1756" s="2" t="s">
        <v>271</v>
      </c>
      <c r="D1756" s="2" t="s">
        <v>272</v>
      </c>
      <c r="E1756" s="4">
        <v>45246</v>
      </c>
    </row>
    <row r="1757" spans="1:5" x14ac:dyDescent="0.25">
      <c r="A1757" s="1" t="str">
        <f>"SBS BUILDING SOLUTIONS LIMITED"</f>
        <v>SBS BUILDING SOLUTIONS LIMITED</v>
      </c>
      <c r="B1757" t="str">
        <f>"07722195"</f>
        <v>07722195</v>
      </c>
      <c r="C1757" s="2" t="s">
        <v>121</v>
      </c>
      <c r="D1757" s="2" t="s">
        <v>122</v>
      </c>
      <c r="E1757" s="4">
        <v>45240</v>
      </c>
    </row>
    <row r="1758" spans="1:5" x14ac:dyDescent="0.25">
      <c r="A1758" s="1" t="s">
        <v>424</v>
      </c>
      <c r="B1758">
        <v>12767144</v>
      </c>
      <c r="C1758" s="2" t="s">
        <v>57</v>
      </c>
      <c r="D1758" s="2" t="s">
        <v>58</v>
      </c>
      <c r="E1758" s="4">
        <v>45217</v>
      </c>
    </row>
    <row r="1759" spans="1:5" x14ac:dyDescent="0.25">
      <c r="A1759" s="1" t="s">
        <v>420</v>
      </c>
      <c r="B1759">
        <v>10235251</v>
      </c>
      <c r="C1759" s="2" t="s">
        <v>57</v>
      </c>
      <c r="D1759" s="2" t="s">
        <v>58</v>
      </c>
      <c r="E1759" s="4">
        <v>45223</v>
      </c>
    </row>
    <row r="1760" spans="1:5" x14ac:dyDescent="0.25">
      <c r="A1760" s="1" t="s">
        <v>409</v>
      </c>
      <c r="B1760">
        <v>11030154</v>
      </c>
      <c r="C1760" s="2" t="s">
        <v>57</v>
      </c>
      <c r="D1760" s="2" t="s">
        <v>58</v>
      </c>
      <c r="E1760" s="4">
        <v>45225</v>
      </c>
    </row>
    <row r="1761" spans="1:5" x14ac:dyDescent="0.25">
      <c r="A1761" s="1" t="s">
        <v>481</v>
      </c>
      <c r="B1761">
        <v>7611710</v>
      </c>
      <c r="C1761" s="2" t="s">
        <v>57</v>
      </c>
      <c r="D1761" s="2" t="s">
        <v>58</v>
      </c>
      <c r="E1761" s="4">
        <v>45225</v>
      </c>
    </row>
    <row r="1762" spans="1:5" x14ac:dyDescent="0.25">
      <c r="A1762" s="1" t="s">
        <v>485</v>
      </c>
      <c r="B1762">
        <v>10662013</v>
      </c>
      <c r="C1762" s="2" t="s">
        <v>57</v>
      </c>
      <c r="D1762" s="2" t="s">
        <v>58</v>
      </c>
      <c r="E1762" s="4">
        <v>45226</v>
      </c>
    </row>
    <row r="1763" spans="1:5" x14ac:dyDescent="0.25">
      <c r="A1763" s="1" t="str">
        <f>"BRENTINGBY GIN LTD"</f>
        <v>BRENTINGBY GIN LTD</v>
      </c>
      <c r="B1763" t="str">
        <f>"10823234"</f>
        <v>10823234</v>
      </c>
      <c r="C1763" s="2" t="s">
        <v>57</v>
      </c>
      <c r="D1763" s="2" t="s">
        <v>58</v>
      </c>
      <c r="E1763" s="4">
        <v>45230</v>
      </c>
    </row>
    <row r="1764" spans="1:5" x14ac:dyDescent="0.25">
      <c r="A1764" s="1" t="str">
        <f>"THE NORTHERN KIWI GROUP LIMITED"</f>
        <v>THE NORTHERN KIWI GROUP LIMITED</v>
      </c>
      <c r="B1764" t="str">
        <f>"13659903"</f>
        <v>13659903</v>
      </c>
      <c r="C1764" s="2" t="s">
        <v>57</v>
      </c>
      <c r="D1764" s="2" t="s">
        <v>58</v>
      </c>
      <c r="E1764" s="4">
        <v>45230</v>
      </c>
    </row>
    <row r="1765" spans="1:5" x14ac:dyDescent="0.25">
      <c r="A1765" s="1" t="str">
        <f>"T SECURE INTEGRATED SYSTEM LTD"</f>
        <v>T SECURE INTEGRATED SYSTEM LTD</v>
      </c>
      <c r="B1765" t="str">
        <f>"09076089"</f>
        <v>09076089</v>
      </c>
      <c r="C1765" s="2" t="s">
        <v>57</v>
      </c>
      <c r="D1765" s="2" t="s">
        <v>58</v>
      </c>
      <c r="E1765" s="4">
        <v>45231</v>
      </c>
    </row>
    <row r="1766" spans="1:5" x14ac:dyDescent="0.25">
      <c r="A1766" s="1" t="str">
        <f>"APEX CONSULTANTIG LTD"</f>
        <v>APEX CONSULTANTIG LTD</v>
      </c>
      <c r="B1766" t="str">
        <f>"10475085"</f>
        <v>10475085</v>
      </c>
      <c r="C1766" s="2" t="s">
        <v>57</v>
      </c>
      <c r="D1766" s="2" t="s">
        <v>58</v>
      </c>
      <c r="E1766" s="4">
        <v>45231</v>
      </c>
    </row>
    <row r="1767" spans="1:5" x14ac:dyDescent="0.25">
      <c r="A1767" s="1" t="str">
        <f>"DC PE29 LIMITED"</f>
        <v>DC PE29 LIMITED</v>
      </c>
      <c r="B1767" t="str">
        <f>"14683189"</f>
        <v>14683189</v>
      </c>
      <c r="C1767" s="2" t="s">
        <v>57</v>
      </c>
      <c r="D1767" s="2" t="s">
        <v>58</v>
      </c>
      <c r="E1767" s="4">
        <v>45238</v>
      </c>
    </row>
    <row r="1768" spans="1:5" x14ac:dyDescent="0.25">
      <c r="A1768" s="1" t="str">
        <f>"KIDDERMINSTER KUSTOMS LTD"</f>
        <v>KIDDERMINSTER KUSTOMS LTD</v>
      </c>
      <c r="B1768" t="str">
        <f>"13120834"</f>
        <v>13120834</v>
      </c>
      <c r="C1768" s="2" t="s">
        <v>57</v>
      </c>
      <c r="D1768" s="2" t="s">
        <v>58</v>
      </c>
      <c r="E1768" s="4">
        <v>45240</v>
      </c>
    </row>
    <row r="1769" spans="1:5" x14ac:dyDescent="0.25">
      <c r="A1769" s="1" t="str">
        <f>"BROOKLANE COLLEGE INTERNATIONAL LIMITED"</f>
        <v>BROOKLANE COLLEGE INTERNATIONAL LIMITED</v>
      </c>
      <c r="B1769" t="str">
        <f>"11856068"</f>
        <v>11856068</v>
      </c>
      <c r="C1769" s="2" t="s">
        <v>57</v>
      </c>
      <c r="D1769" s="2" t="s">
        <v>58</v>
      </c>
      <c r="E1769" s="4">
        <v>45244</v>
      </c>
    </row>
    <row r="1770" spans="1:5" x14ac:dyDescent="0.25">
      <c r="A1770" s="1" t="s">
        <v>663</v>
      </c>
      <c r="B1770">
        <v>12377219</v>
      </c>
      <c r="C1770" s="2" t="s">
        <v>57</v>
      </c>
      <c r="D1770" s="2" t="s">
        <v>58</v>
      </c>
      <c r="E1770" s="4">
        <v>45244</v>
      </c>
    </row>
    <row r="1771" spans="1:5" x14ac:dyDescent="0.25">
      <c r="A1771" s="1" t="s">
        <v>648</v>
      </c>
      <c r="B1771">
        <v>12349380</v>
      </c>
      <c r="C1771" s="2" t="s">
        <v>57</v>
      </c>
      <c r="D1771" s="2" t="s">
        <v>58</v>
      </c>
      <c r="E1771" s="4">
        <v>45244</v>
      </c>
    </row>
    <row r="1772" spans="1:5" x14ac:dyDescent="0.25">
      <c r="A1772" s="1" t="str">
        <f>"OSCAR CLOTHING LTD"</f>
        <v>OSCAR CLOTHING LTD</v>
      </c>
      <c r="B1772" t="str">
        <f>"12273990"</f>
        <v>12273990</v>
      </c>
      <c r="C1772" s="2" t="s">
        <v>57</v>
      </c>
      <c r="D1772" s="2" t="s">
        <v>58</v>
      </c>
      <c r="E1772" s="4">
        <v>45244</v>
      </c>
    </row>
    <row r="1773" spans="1:5" x14ac:dyDescent="0.25">
      <c r="A1773" s="1" t="s">
        <v>763</v>
      </c>
      <c r="B1773">
        <v>13030344</v>
      </c>
      <c r="C1773" s="2" t="s">
        <v>57</v>
      </c>
      <c r="D1773" s="2" t="s">
        <v>58</v>
      </c>
      <c r="E1773" s="4">
        <v>45246</v>
      </c>
    </row>
    <row r="1774" spans="1:5" x14ac:dyDescent="0.25">
      <c r="A1774" s="1" t="str">
        <f>"DIGITAL GRADS LTD"</f>
        <v>DIGITAL GRADS LTD</v>
      </c>
      <c r="B1774" t="str">
        <f>"11598363"</f>
        <v>11598363</v>
      </c>
      <c r="C1774" s="2" t="s">
        <v>57</v>
      </c>
      <c r="D1774" s="2" t="s">
        <v>58</v>
      </c>
      <c r="E1774" s="4">
        <v>45246</v>
      </c>
    </row>
    <row r="1775" spans="1:5" x14ac:dyDescent="0.25">
      <c r="A1775" s="1" t="str">
        <f>"BURGER AMOUR DAVENTRY LIMITED"</f>
        <v>BURGER AMOUR DAVENTRY LIMITED</v>
      </c>
      <c r="B1775" t="str">
        <f>"13349369"</f>
        <v>13349369</v>
      </c>
      <c r="C1775" s="2" t="s">
        <v>57</v>
      </c>
      <c r="D1775" s="2" t="s">
        <v>58</v>
      </c>
      <c r="E1775" s="4">
        <v>45248</v>
      </c>
    </row>
    <row r="1776" spans="1:5" x14ac:dyDescent="0.25">
      <c r="A1776" s="1" t="str">
        <f>"DIGI.ME LIMITED"</f>
        <v>DIGI.ME LIMITED</v>
      </c>
      <c r="B1776" t="str">
        <f>"13632195"</f>
        <v>13632195</v>
      </c>
      <c r="C1776" s="2" t="s">
        <v>57</v>
      </c>
      <c r="D1776" s="2" t="s">
        <v>58</v>
      </c>
      <c r="E1776" s="4">
        <v>45252</v>
      </c>
    </row>
    <row r="1777" spans="1:5" x14ac:dyDescent="0.25">
      <c r="A1777" s="1" t="s">
        <v>448</v>
      </c>
      <c r="B1777">
        <v>7532070</v>
      </c>
      <c r="C1777" s="2" t="s">
        <v>220</v>
      </c>
      <c r="D1777" s="2" t="s">
        <v>26</v>
      </c>
      <c r="E1777" s="4">
        <v>45222</v>
      </c>
    </row>
    <row r="1778" spans="1:5" x14ac:dyDescent="0.25">
      <c r="A1778" s="1" t="s">
        <v>445</v>
      </c>
      <c r="B1778">
        <v>13488095</v>
      </c>
      <c r="C1778" s="2" t="s">
        <v>220</v>
      </c>
      <c r="D1778" s="2" t="s">
        <v>26</v>
      </c>
      <c r="E1778" s="4">
        <v>45225</v>
      </c>
    </row>
    <row r="1779" spans="1:5" x14ac:dyDescent="0.25">
      <c r="A1779" s="1" t="str">
        <f>"EVOLVE ELECTRICAL (MANCHESTER) LIMITED"</f>
        <v>EVOLVE ELECTRICAL (MANCHESTER) LIMITED</v>
      </c>
      <c r="B1779" t="str">
        <f>"10592537"</f>
        <v>10592537</v>
      </c>
      <c r="C1779" s="2" t="s">
        <v>220</v>
      </c>
      <c r="D1779" s="2" t="s">
        <v>26</v>
      </c>
      <c r="E1779" s="4">
        <v>45225</v>
      </c>
    </row>
    <row r="1780" spans="1:5" x14ac:dyDescent="0.25">
      <c r="A1780" s="1" t="str">
        <f>"MANCONELL LIMITED"</f>
        <v>MANCONELL LIMITED</v>
      </c>
      <c r="B1780" t="str">
        <f>"10659532"</f>
        <v>10659532</v>
      </c>
      <c r="C1780" s="2" t="s">
        <v>220</v>
      </c>
      <c r="D1780" s="2" t="s">
        <v>26</v>
      </c>
      <c r="E1780" s="4">
        <v>45237</v>
      </c>
    </row>
    <row r="1781" spans="1:5" x14ac:dyDescent="0.25">
      <c r="A1781" s="1" t="str">
        <f>"NOT IN THE DOG HOUSE LIMITED"</f>
        <v>NOT IN THE DOG HOUSE LIMITED</v>
      </c>
      <c r="B1781" t="str">
        <f>"10921147"</f>
        <v>10921147</v>
      </c>
      <c r="C1781" s="2" t="s">
        <v>196</v>
      </c>
      <c r="D1781" s="2" t="s">
        <v>603</v>
      </c>
      <c r="E1781" s="4">
        <v>45240</v>
      </c>
    </row>
    <row r="1782" spans="1:5" x14ac:dyDescent="0.25">
      <c r="A1782" s="1" t="s">
        <v>542</v>
      </c>
      <c r="B1782">
        <v>8000208</v>
      </c>
      <c r="C1782" s="2" t="s">
        <v>196</v>
      </c>
      <c r="D1782" s="2" t="s">
        <v>147</v>
      </c>
      <c r="E1782" s="4">
        <v>45223</v>
      </c>
    </row>
    <row r="1783" spans="1:5" x14ac:dyDescent="0.25">
      <c r="A1783" s="1" t="s">
        <v>562</v>
      </c>
      <c r="B1783">
        <v>8991197</v>
      </c>
      <c r="C1783" s="2" t="s">
        <v>196</v>
      </c>
      <c r="D1783" s="2" t="s">
        <v>147</v>
      </c>
      <c r="E1783" s="4">
        <v>45229</v>
      </c>
    </row>
    <row r="1784" spans="1:5" x14ac:dyDescent="0.25">
      <c r="A1784" s="1" t="str">
        <f>"DERBYSHIRE INNS LIMITED"</f>
        <v>DERBYSHIRE INNS LIMITED</v>
      </c>
      <c r="B1784" t="str">
        <f>"06897665"</f>
        <v>06897665</v>
      </c>
      <c r="C1784" s="2" t="s">
        <v>196</v>
      </c>
      <c r="D1784" s="2" t="s">
        <v>147</v>
      </c>
      <c r="E1784" s="4">
        <v>45233</v>
      </c>
    </row>
    <row r="1785" spans="1:5" x14ac:dyDescent="0.25">
      <c r="A1785" s="1" t="str">
        <f>"OAKDALE WINDOWS &amp; DOORS LIMITED"</f>
        <v>OAKDALE WINDOWS &amp; DOORS LIMITED</v>
      </c>
      <c r="B1785" t="str">
        <f>"13835143"</f>
        <v>13835143</v>
      </c>
      <c r="C1785" s="2" t="s">
        <v>196</v>
      </c>
      <c r="D1785" s="2" t="s">
        <v>147</v>
      </c>
      <c r="E1785" s="4">
        <v>45236</v>
      </c>
    </row>
    <row r="1786" spans="1:5" x14ac:dyDescent="0.25">
      <c r="A1786" s="1" t="str">
        <f>"D.C. BESPOKE PROPERTY SERVICES LIMITED"</f>
        <v>D.C. BESPOKE PROPERTY SERVICES LIMITED</v>
      </c>
      <c r="B1786" t="str">
        <f>"11599924"</f>
        <v>11599924</v>
      </c>
      <c r="C1786" s="2" t="s">
        <v>196</v>
      </c>
      <c r="D1786" s="2" t="s">
        <v>147</v>
      </c>
      <c r="E1786" s="4">
        <v>45236</v>
      </c>
    </row>
    <row r="1787" spans="1:5" x14ac:dyDescent="0.25">
      <c r="A1787" s="1" t="str">
        <f>"MARTIAL ARTS ACADEMY LTD"</f>
        <v>MARTIAL ARTS ACADEMY LTD</v>
      </c>
      <c r="B1787" t="str">
        <f>"11133521"</f>
        <v>11133521</v>
      </c>
      <c r="C1787" s="2" t="s">
        <v>196</v>
      </c>
      <c r="D1787" s="2" t="s">
        <v>147</v>
      </c>
      <c r="E1787" s="4">
        <v>45236</v>
      </c>
    </row>
    <row r="1788" spans="1:5" x14ac:dyDescent="0.25">
      <c r="A1788" s="1" t="str">
        <f>"ECOMMERCE BRANDS LTD"</f>
        <v>ECOMMERCE BRANDS LTD</v>
      </c>
      <c r="B1788" t="str">
        <f>"11310365"</f>
        <v>11310365</v>
      </c>
      <c r="C1788" s="2" t="s">
        <v>196</v>
      </c>
      <c r="D1788" s="2" t="s">
        <v>147</v>
      </c>
      <c r="E1788" s="4">
        <v>45240</v>
      </c>
    </row>
    <row r="1789" spans="1:5" x14ac:dyDescent="0.25">
      <c r="A1789" s="1" t="str">
        <f>"PRIME WOOD RESOURCES LTD"</f>
        <v>PRIME WOOD RESOURCES LTD</v>
      </c>
      <c r="B1789" t="str">
        <f>"11650212"</f>
        <v>11650212</v>
      </c>
      <c r="C1789" s="2" t="s">
        <v>196</v>
      </c>
      <c r="D1789" s="2" t="s">
        <v>147</v>
      </c>
      <c r="E1789" s="4">
        <v>45243</v>
      </c>
    </row>
    <row r="1790" spans="1:5" x14ac:dyDescent="0.25">
      <c r="A1790" s="1" t="str">
        <f>"MODERN BLINDS LTD"</f>
        <v>MODERN BLINDS LTD</v>
      </c>
      <c r="B1790" t="str">
        <f>"12462674"</f>
        <v>12462674</v>
      </c>
      <c r="C1790" s="2" t="s">
        <v>196</v>
      </c>
      <c r="D1790" s="2" t="s">
        <v>147</v>
      </c>
      <c r="E1790" s="4">
        <v>45243</v>
      </c>
    </row>
    <row r="1791" spans="1:5" x14ac:dyDescent="0.25">
      <c r="A1791" s="1" t="s">
        <v>645</v>
      </c>
      <c r="B1791">
        <v>14043917</v>
      </c>
      <c r="C1791" s="2" t="s">
        <v>196</v>
      </c>
      <c r="D1791" s="2" t="s">
        <v>147</v>
      </c>
      <c r="E1791" s="4">
        <v>45245</v>
      </c>
    </row>
    <row r="1792" spans="1:5" x14ac:dyDescent="0.25">
      <c r="A1792" s="1" t="s">
        <v>636</v>
      </c>
      <c r="B1792">
        <v>6696797</v>
      </c>
      <c r="C1792" s="2" t="s">
        <v>196</v>
      </c>
      <c r="D1792" s="2" t="s">
        <v>147</v>
      </c>
      <c r="E1792" s="4">
        <v>45245</v>
      </c>
    </row>
    <row r="1793" spans="1:18" x14ac:dyDescent="0.25">
      <c r="A1793" s="1" t="s">
        <v>650</v>
      </c>
      <c r="B1793">
        <v>10220638</v>
      </c>
      <c r="C1793" s="2" t="s">
        <v>196</v>
      </c>
      <c r="D1793" s="2" t="s">
        <v>147</v>
      </c>
      <c r="E1793" s="4">
        <v>45245</v>
      </c>
    </row>
    <row r="1794" spans="1:18" x14ac:dyDescent="0.25">
      <c r="A1794" s="1" t="s">
        <v>748</v>
      </c>
      <c r="B1794" t="s">
        <v>749</v>
      </c>
      <c r="C1794" s="2" t="s">
        <v>196</v>
      </c>
      <c r="D1794" s="2" t="s">
        <v>147</v>
      </c>
      <c r="E1794" s="4">
        <v>45247</v>
      </c>
    </row>
    <row r="1795" spans="1:18" x14ac:dyDescent="0.25">
      <c r="A1795" s="1" t="s">
        <v>770</v>
      </c>
      <c r="B1795">
        <v>11457961</v>
      </c>
      <c r="C1795" s="2" t="s">
        <v>196</v>
      </c>
      <c r="D1795" s="2" t="s">
        <v>147</v>
      </c>
      <c r="E1795" s="4">
        <v>45247</v>
      </c>
    </row>
    <row r="1796" spans="1:18" x14ac:dyDescent="0.25">
      <c r="A1796" s="1" t="s">
        <v>787</v>
      </c>
      <c r="B1796">
        <v>14650847</v>
      </c>
      <c r="C1796" s="2" t="s">
        <v>196</v>
      </c>
      <c r="D1796" s="2" t="s">
        <v>147</v>
      </c>
      <c r="E1796" s="4">
        <v>45247</v>
      </c>
    </row>
    <row r="1797" spans="1:18" x14ac:dyDescent="0.25">
      <c r="A1797" s="1" t="str">
        <f>"RDS RENOVATIONS (YORKSHIRE) LTD"</f>
        <v>RDS RENOVATIONS (YORKSHIRE) LTD</v>
      </c>
      <c r="B1797" t="str">
        <f>"11632781"</f>
        <v>11632781</v>
      </c>
      <c r="C1797" s="2" t="s">
        <v>196</v>
      </c>
      <c r="D1797" s="2" t="s">
        <v>147</v>
      </c>
      <c r="E1797" s="4">
        <v>45250</v>
      </c>
    </row>
    <row r="1798" spans="1:18" x14ac:dyDescent="0.25">
      <c r="A1798" s="1" t="str">
        <f>"TRACC MEDIA LIMITED"</f>
        <v>TRACC MEDIA LIMITED</v>
      </c>
      <c r="B1798" t="str">
        <f>"10613068"</f>
        <v>10613068</v>
      </c>
      <c r="C1798" s="2" t="s">
        <v>137</v>
      </c>
      <c r="D1798" s="2" t="s">
        <v>138</v>
      </c>
      <c r="E1798" s="4">
        <v>45239</v>
      </c>
    </row>
    <row r="1799" spans="1:18" x14ac:dyDescent="0.25">
      <c r="A1799" s="1" t="s">
        <v>659</v>
      </c>
      <c r="B1799">
        <v>11202320</v>
      </c>
      <c r="C1799" s="2" t="s">
        <v>137</v>
      </c>
      <c r="D1799" s="2" t="s">
        <v>138</v>
      </c>
      <c r="E1799" s="4">
        <v>45246</v>
      </c>
    </row>
    <row r="1800" spans="1:18" x14ac:dyDescent="0.25">
      <c r="A1800" s="1"/>
      <c r="C1800" s="2"/>
      <c r="D1800" s="2"/>
      <c r="E1800" s="4"/>
    </row>
    <row r="1801" spans="1:18" x14ac:dyDescent="0.25">
      <c r="A1801" s="1"/>
      <c r="C1801" s="2"/>
      <c r="D1801" s="2"/>
      <c r="E1801" s="4"/>
    </row>
    <row r="1802" spans="1:18" x14ac:dyDescent="0.25">
      <c r="A1802" s="1"/>
      <c r="C1802" s="2"/>
      <c r="D1802" s="2"/>
      <c r="E1802" s="4"/>
    </row>
    <row r="1803" spans="1:18" x14ac:dyDescent="0.25">
      <c r="A1803" s="1"/>
      <c r="C1803" s="2"/>
      <c r="D1803" s="2"/>
      <c r="E1803" s="4"/>
    </row>
    <row r="1804" spans="1:18" x14ac:dyDescent="0.25">
      <c r="J1804" s="3"/>
      <c r="R1804" s="3"/>
    </row>
    <row r="1805" spans="1:18" x14ac:dyDescent="0.25">
      <c r="J1805" s="3"/>
      <c r="R1805" s="3"/>
    </row>
    <row r="1806" spans="1:18" x14ac:dyDescent="0.25">
      <c r="J1806" s="3"/>
      <c r="R1806" s="3"/>
    </row>
    <row r="1807" spans="1:18" x14ac:dyDescent="0.25">
      <c r="J1807" s="3"/>
      <c r="R1807" s="3"/>
    </row>
    <row r="1808" spans="1:18" x14ac:dyDescent="0.25">
      <c r="J1808" s="3"/>
      <c r="R1808" s="3"/>
    </row>
    <row r="1809" spans="10:28" x14ac:dyDescent="0.25">
      <c r="J1809" s="3"/>
      <c r="R1809" s="3"/>
    </row>
    <row r="1810" spans="10:28" x14ac:dyDescent="0.25">
      <c r="J1810" s="3"/>
      <c r="R1810" s="3"/>
    </row>
    <row r="1811" spans="10:28" x14ac:dyDescent="0.25">
      <c r="J1811" s="3"/>
      <c r="R1811" s="3"/>
    </row>
    <row r="1812" spans="10:28" x14ac:dyDescent="0.25">
      <c r="J1812" s="3"/>
      <c r="R1812" s="3"/>
      <c r="AB1812" s="3"/>
    </row>
    <row r="1813" spans="10:28" x14ac:dyDescent="0.25">
      <c r="J1813" s="3"/>
      <c r="R1813" s="3"/>
    </row>
    <row r="1814" spans="10:28" x14ac:dyDescent="0.25">
      <c r="J1814" s="3"/>
      <c r="R1814" s="3"/>
    </row>
    <row r="1815" spans="10:28" x14ac:dyDescent="0.25">
      <c r="J1815" s="3"/>
      <c r="R1815" s="3"/>
    </row>
    <row r="1816" spans="10:28" x14ac:dyDescent="0.25">
      <c r="J1816" s="3"/>
      <c r="R1816" s="3"/>
    </row>
    <row r="1817" spans="10:28" x14ac:dyDescent="0.25">
      <c r="J1817" s="3"/>
      <c r="R1817" s="3"/>
    </row>
    <row r="1818" spans="10:28" x14ac:dyDescent="0.25">
      <c r="J1818" s="3"/>
      <c r="R1818" s="3"/>
    </row>
    <row r="1819" spans="10:28" x14ac:dyDescent="0.25">
      <c r="J1819" s="3"/>
      <c r="R1819" s="3"/>
    </row>
    <row r="1820" spans="10:28" x14ac:dyDescent="0.25">
      <c r="J1820" s="3"/>
      <c r="R1820" s="3"/>
    </row>
    <row r="1821" spans="10:28" x14ac:dyDescent="0.25">
      <c r="J1821" s="3"/>
      <c r="R1821" s="3"/>
    </row>
    <row r="1822" spans="10:28" x14ac:dyDescent="0.25">
      <c r="J1822" s="3"/>
      <c r="R1822" s="3"/>
      <c r="AB1822" s="3"/>
    </row>
    <row r="1823" spans="10:28" x14ac:dyDescent="0.25">
      <c r="J1823" s="3"/>
      <c r="R1823" s="3"/>
    </row>
    <row r="1825" spans="10:28" x14ac:dyDescent="0.25">
      <c r="J1825" s="3"/>
      <c r="R1825" s="3"/>
      <c r="AB1825" s="3"/>
    </row>
    <row r="1826" spans="10:28" x14ac:dyDescent="0.25">
      <c r="J1826" s="3"/>
      <c r="R1826" s="3"/>
    </row>
    <row r="1827" spans="10:28" x14ac:dyDescent="0.25">
      <c r="J1827" s="3"/>
      <c r="R1827" s="3"/>
    </row>
    <row r="1828" spans="10:28" x14ac:dyDescent="0.25">
      <c r="J1828" s="3"/>
      <c r="R1828" s="3"/>
    </row>
    <row r="1829" spans="10:28" x14ac:dyDescent="0.25">
      <c r="J1829" s="3"/>
      <c r="R1829" s="3"/>
    </row>
    <row r="1830" spans="10:28" x14ac:dyDescent="0.25">
      <c r="J1830" s="3"/>
      <c r="R1830" s="3"/>
    </row>
    <row r="1831" spans="10:28" x14ac:dyDescent="0.25">
      <c r="J1831" s="3"/>
      <c r="R1831" s="3"/>
    </row>
    <row r="1832" spans="10:28" x14ac:dyDescent="0.25">
      <c r="J1832" s="3"/>
      <c r="R1832" s="3"/>
    </row>
    <row r="1833" spans="10:28" x14ac:dyDescent="0.25">
      <c r="J1833" s="3"/>
      <c r="R1833" s="3"/>
      <c r="AB1833" s="3"/>
    </row>
    <row r="1835" spans="10:28" x14ac:dyDescent="0.25">
      <c r="J1835" s="3"/>
      <c r="R1835" s="3"/>
      <c r="AB1835" s="3"/>
    </row>
    <row r="1836" spans="10:28" x14ac:dyDescent="0.25">
      <c r="J1836" s="3"/>
      <c r="R1836" s="3"/>
    </row>
    <row r="1837" spans="10:28" x14ac:dyDescent="0.25">
      <c r="J1837" s="3"/>
      <c r="R1837" s="3"/>
    </row>
    <row r="1838" spans="10:28" x14ac:dyDescent="0.25">
      <c r="J1838" s="3"/>
      <c r="R1838" s="3"/>
    </row>
    <row r="1839" spans="10:28" x14ac:dyDescent="0.25">
      <c r="J1839" s="3"/>
      <c r="R1839" s="3"/>
    </row>
    <row r="1840" spans="10:28" x14ac:dyDescent="0.25">
      <c r="J1840" s="3"/>
      <c r="R1840" s="3"/>
    </row>
    <row r="1841" spans="10:28" x14ac:dyDescent="0.25">
      <c r="J1841" s="3"/>
      <c r="R1841" s="3"/>
      <c r="AB1841" s="3"/>
    </row>
    <row r="1842" spans="10:28" x14ac:dyDescent="0.25">
      <c r="J1842" s="3"/>
      <c r="R1842" s="3"/>
    </row>
    <row r="1843" spans="10:28" x14ac:dyDescent="0.25">
      <c r="J1843" s="3"/>
      <c r="R1843" s="3"/>
    </row>
    <row r="1844" spans="10:28" x14ac:dyDescent="0.25">
      <c r="J1844" s="3"/>
      <c r="R1844" s="3"/>
    </row>
    <row r="1845" spans="10:28" x14ac:dyDescent="0.25">
      <c r="J1845" s="3"/>
      <c r="R1845" s="3"/>
    </row>
    <row r="1846" spans="10:28" x14ac:dyDescent="0.25">
      <c r="J1846" s="3"/>
      <c r="R1846" s="3"/>
    </row>
    <row r="1847" spans="10:28" x14ac:dyDescent="0.25">
      <c r="J1847" s="3"/>
      <c r="R1847" s="3"/>
      <c r="AB1847" s="3"/>
    </row>
    <row r="1848" spans="10:28" x14ac:dyDescent="0.25">
      <c r="J1848" s="3"/>
      <c r="R1848" s="3"/>
    </row>
    <row r="1849" spans="10:28" x14ac:dyDescent="0.25">
      <c r="J1849" s="3"/>
      <c r="R1849" s="3"/>
    </row>
    <row r="1850" spans="10:28" x14ac:dyDescent="0.25">
      <c r="J1850" s="3"/>
      <c r="R1850" s="3"/>
    </row>
    <row r="1851" spans="10:28" x14ac:dyDescent="0.25">
      <c r="J1851" s="3"/>
      <c r="R1851" s="3"/>
    </row>
    <row r="1852" spans="10:28" x14ac:dyDescent="0.25">
      <c r="J1852" s="3"/>
      <c r="R1852" s="3"/>
    </row>
    <row r="1853" spans="10:28" x14ac:dyDescent="0.25">
      <c r="J1853" s="3"/>
      <c r="R1853" s="3"/>
      <c r="AB1853" s="3"/>
    </row>
    <row r="1854" spans="10:28" x14ac:dyDescent="0.25">
      <c r="J1854" s="3"/>
      <c r="R1854" s="3"/>
      <c r="AB1854" s="3"/>
    </row>
    <row r="1855" spans="10:28" x14ac:dyDescent="0.25">
      <c r="J1855" s="3"/>
      <c r="R1855" s="3"/>
      <c r="AB1855" s="3"/>
    </row>
    <row r="1856" spans="10:28" x14ac:dyDescent="0.25">
      <c r="J1856" s="3"/>
      <c r="R1856" s="3"/>
    </row>
    <row r="1857" spans="10:28" x14ac:dyDescent="0.25">
      <c r="J1857" s="3"/>
      <c r="R1857" s="3"/>
    </row>
    <row r="1858" spans="10:28" x14ac:dyDescent="0.25">
      <c r="J1858" s="3"/>
      <c r="R1858" s="3"/>
    </row>
    <row r="1859" spans="10:28" x14ac:dyDescent="0.25">
      <c r="J1859" s="3"/>
      <c r="R1859" s="3"/>
      <c r="AB1859" s="3"/>
    </row>
    <row r="1860" spans="10:28" x14ac:dyDescent="0.25">
      <c r="J1860" s="3"/>
      <c r="R1860" s="3"/>
      <c r="AB1860" s="3"/>
    </row>
    <row r="1861" spans="10:28" x14ac:dyDescent="0.25">
      <c r="J1861" s="3"/>
      <c r="R1861" s="3"/>
      <c r="AB1861" s="3"/>
    </row>
    <row r="1862" spans="10:28" x14ac:dyDescent="0.25">
      <c r="J1862" s="3"/>
      <c r="R1862" s="3"/>
    </row>
    <row r="1863" spans="10:28" x14ac:dyDescent="0.25">
      <c r="J1863" s="3"/>
      <c r="R1863" s="3"/>
    </row>
    <row r="1864" spans="10:28" x14ac:dyDescent="0.25">
      <c r="J1864" s="3"/>
      <c r="R1864" s="3"/>
      <c r="AB1864" s="3"/>
    </row>
    <row r="1865" spans="10:28" x14ac:dyDescent="0.25">
      <c r="J1865" s="3"/>
      <c r="R1865" s="3"/>
    </row>
    <row r="1866" spans="10:28" x14ac:dyDescent="0.25">
      <c r="J1866" s="3"/>
      <c r="R1866" s="3"/>
    </row>
    <row r="1867" spans="10:28" x14ac:dyDescent="0.25">
      <c r="J1867" s="3"/>
      <c r="R1867" s="3"/>
    </row>
    <row r="1868" spans="10:28" x14ac:dyDescent="0.25">
      <c r="J1868" s="3"/>
      <c r="R1868" s="3"/>
    </row>
    <row r="1869" spans="10:28" x14ac:dyDescent="0.25">
      <c r="J1869" s="3"/>
      <c r="R1869" s="3"/>
    </row>
    <row r="1870" spans="10:28" x14ac:dyDescent="0.25">
      <c r="J1870" s="3"/>
      <c r="R1870" s="3"/>
    </row>
  </sheetData>
  <sortState xmlns:xlrd2="http://schemas.microsoft.com/office/spreadsheetml/2017/richdata2" ref="A4:W1799">
    <sortCondition ref="C4:C1799"/>
    <sortCondition ref="D4:D1799"/>
    <sortCondition ref="E4:E1799"/>
  </sortState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 Swire</dc:creator>
  <cp:lastModifiedBy>Geoff Swire</cp:lastModifiedBy>
  <dcterms:created xsi:type="dcterms:W3CDTF">2023-09-01T15:33:14Z</dcterms:created>
  <dcterms:modified xsi:type="dcterms:W3CDTF">2023-12-02T13:21:59Z</dcterms:modified>
</cp:coreProperties>
</file>